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il\OneDrive\Mini-WM 2026\"/>
    </mc:Choice>
  </mc:AlternateContent>
  <xr:revisionPtr revIDLastSave="0" documentId="13_ncr:1_{6A8F2711-3112-4A74-969A-44983D4B5620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Vorrunde" sheetId="3" r:id="rId1"/>
    <sheet name="Endrunde" sheetId="4" r:id="rId2"/>
    <sheet name="Trostrunde" sheetId="6" r:id="rId3"/>
    <sheet name="Berechnung" sheetId="1" state="hidden" r:id="rId4"/>
    <sheet name="Text" sheetId="2" state="hidden" r:id="rId5"/>
    <sheet name="Zeiten" sheetId="5" state="hidden" r:id="rId6"/>
  </sheets>
  <definedNames>
    <definedName name="_xlnm.Print_Area" localSheetId="3">Berechnung!$A$1:$BF$67</definedName>
    <definedName name="_xlnm.Print_Area" localSheetId="1">Endrunde!$A$1:$I$73</definedName>
    <definedName name="_xlnm.Print_Area" localSheetId="2">Trostrunde!$A$1:$I$74</definedName>
    <definedName name="_xlnm.Print_Area" localSheetId="0">Vorrunde!$A$1:$S$70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6" l="1"/>
  <c r="E8" i="3"/>
  <c r="A69" i="4"/>
  <c r="A4" i="1" l="1"/>
  <c r="B5" i="1"/>
  <c r="I6" i="1" s="1"/>
  <c r="C5" i="1"/>
  <c r="H7" i="1" s="1"/>
  <c r="H5" i="1"/>
  <c r="I5" i="1"/>
  <c r="J5" i="1"/>
  <c r="K5" i="1"/>
  <c r="O5" i="1"/>
  <c r="P5" i="1"/>
  <c r="Q5" i="1"/>
  <c r="R5" i="1"/>
  <c r="W5" i="1"/>
  <c r="X5" i="1"/>
  <c r="Y5" i="1"/>
  <c r="Z5" i="1"/>
  <c r="AA5" i="1"/>
  <c r="B6" i="1"/>
  <c r="K8" i="1" s="1"/>
  <c r="C6" i="1"/>
  <c r="J9" i="1" s="1"/>
  <c r="G6" i="1"/>
  <c r="N6" i="1"/>
  <c r="V6" i="1"/>
  <c r="B7" i="1"/>
  <c r="J6" i="1" s="1"/>
  <c r="C7" i="1"/>
  <c r="H8" i="1" s="1"/>
  <c r="G7" i="1"/>
  <c r="N7" i="1"/>
  <c r="V7" i="1"/>
  <c r="B8" i="1"/>
  <c r="I9" i="1" s="1"/>
  <c r="C8" i="1"/>
  <c r="K7" i="1" s="1"/>
  <c r="G8" i="1"/>
  <c r="N8" i="1"/>
  <c r="V8" i="1"/>
  <c r="B9" i="1"/>
  <c r="H9" i="1" s="1"/>
  <c r="C9" i="1"/>
  <c r="K6" i="1" s="1"/>
  <c r="G9" i="1"/>
  <c r="N9" i="1"/>
  <c r="V9" i="1"/>
  <c r="B10" i="1"/>
  <c r="J7" i="1" s="1"/>
  <c r="C10" i="1"/>
  <c r="I8" i="1" s="1"/>
  <c r="A12" i="1"/>
  <c r="B13" i="1"/>
  <c r="I14" i="1" s="1"/>
  <c r="C13" i="1"/>
  <c r="H15" i="1" s="1"/>
  <c r="H13" i="1"/>
  <c r="I13" i="1"/>
  <c r="J13" i="1"/>
  <c r="K13" i="1"/>
  <c r="O13" i="1"/>
  <c r="P13" i="1"/>
  <c r="Q13" i="1"/>
  <c r="R13" i="1"/>
  <c r="W13" i="1"/>
  <c r="X13" i="1"/>
  <c r="Y13" i="1"/>
  <c r="Z13" i="1"/>
  <c r="AA13" i="1"/>
  <c r="B14" i="1"/>
  <c r="K16" i="1" s="1"/>
  <c r="C14" i="1"/>
  <c r="J17" i="1" s="1"/>
  <c r="G14" i="1"/>
  <c r="N14" i="1"/>
  <c r="V14" i="1"/>
  <c r="B15" i="1"/>
  <c r="J14" i="1" s="1"/>
  <c r="C15" i="1"/>
  <c r="H16" i="1" s="1"/>
  <c r="G15" i="1"/>
  <c r="N15" i="1"/>
  <c r="V15" i="1"/>
  <c r="B16" i="1"/>
  <c r="I17" i="1" s="1"/>
  <c r="C16" i="1"/>
  <c r="K15" i="1" s="1"/>
  <c r="G16" i="1"/>
  <c r="N16" i="1"/>
  <c r="V16" i="1"/>
  <c r="B17" i="1"/>
  <c r="H17" i="1" s="1"/>
  <c r="C17" i="1"/>
  <c r="K14" i="1" s="1"/>
  <c r="G17" i="1"/>
  <c r="N17" i="1"/>
  <c r="V17" i="1"/>
  <c r="B18" i="1"/>
  <c r="J15" i="1" s="1"/>
  <c r="C18" i="1"/>
  <c r="I16" i="1" s="1"/>
  <c r="A20" i="1"/>
  <c r="B21" i="1"/>
  <c r="I22" i="1" s="1"/>
  <c r="C21" i="1"/>
  <c r="H23" i="1" s="1"/>
  <c r="H21" i="1"/>
  <c r="I21" i="1"/>
  <c r="J21" i="1"/>
  <c r="K21" i="1"/>
  <c r="O21" i="1"/>
  <c r="P21" i="1"/>
  <c r="Q21" i="1"/>
  <c r="R21" i="1"/>
  <c r="W21" i="1"/>
  <c r="X21" i="1"/>
  <c r="Y21" i="1"/>
  <c r="Z21" i="1"/>
  <c r="AA21" i="1"/>
  <c r="B22" i="1"/>
  <c r="K24" i="1" s="1"/>
  <c r="C22" i="1"/>
  <c r="J25" i="1" s="1"/>
  <c r="G22" i="1"/>
  <c r="N22" i="1"/>
  <c r="V22" i="1"/>
  <c r="B23" i="1"/>
  <c r="J22" i="1" s="1"/>
  <c r="C23" i="1"/>
  <c r="H24" i="1" s="1"/>
  <c r="G23" i="1"/>
  <c r="N23" i="1"/>
  <c r="V23" i="1"/>
  <c r="B24" i="1"/>
  <c r="I25" i="1" s="1"/>
  <c r="C24" i="1"/>
  <c r="K23" i="1" s="1"/>
  <c r="G24" i="1"/>
  <c r="N24" i="1"/>
  <c r="V24" i="1"/>
  <c r="B25" i="1"/>
  <c r="H25" i="1" s="1"/>
  <c r="C25" i="1"/>
  <c r="K22" i="1" s="1"/>
  <c r="G25" i="1"/>
  <c r="N25" i="1"/>
  <c r="V25" i="1"/>
  <c r="B26" i="1"/>
  <c r="J23" i="1" s="1"/>
  <c r="C26" i="1"/>
  <c r="I24" i="1" s="1"/>
  <c r="A28" i="1"/>
  <c r="B29" i="1"/>
  <c r="I30" i="1" s="1"/>
  <c r="C29" i="1"/>
  <c r="H31" i="1" s="1"/>
  <c r="H29" i="1"/>
  <c r="I29" i="1"/>
  <c r="J29" i="1"/>
  <c r="K29" i="1"/>
  <c r="O29" i="1"/>
  <c r="P29" i="1"/>
  <c r="Q29" i="1"/>
  <c r="R29" i="1"/>
  <c r="W29" i="1"/>
  <c r="X29" i="1"/>
  <c r="Y29" i="1"/>
  <c r="Z29" i="1"/>
  <c r="AA29" i="1"/>
  <c r="B30" i="1"/>
  <c r="K32" i="1" s="1"/>
  <c r="C30" i="1"/>
  <c r="J33" i="1" s="1"/>
  <c r="G30" i="1"/>
  <c r="N30" i="1"/>
  <c r="V30" i="1"/>
  <c r="B31" i="1"/>
  <c r="J30" i="1" s="1"/>
  <c r="C31" i="1"/>
  <c r="H32" i="1" s="1"/>
  <c r="G31" i="1"/>
  <c r="N31" i="1"/>
  <c r="V31" i="1"/>
  <c r="B32" i="1"/>
  <c r="I33" i="1" s="1"/>
  <c r="C32" i="1"/>
  <c r="K31" i="1" s="1"/>
  <c r="G32" i="1"/>
  <c r="N32" i="1"/>
  <c r="V32" i="1"/>
  <c r="B33" i="1"/>
  <c r="H33" i="1" s="1"/>
  <c r="C33" i="1"/>
  <c r="K30" i="1" s="1"/>
  <c r="G33" i="1"/>
  <c r="N33" i="1"/>
  <c r="V33" i="1"/>
  <c r="B34" i="1"/>
  <c r="J31" i="1" s="1"/>
  <c r="C34" i="1"/>
  <c r="I32" i="1" s="1"/>
  <c r="A36" i="1"/>
  <c r="B37" i="1"/>
  <c r="I38" i="1" s="1"/>
  <c r="C37" i="1"/>
  <c r="H39" i="1" s="1"/>
  <c r="H37" i="1"/>
  <c r="I37" i="1"/>
  <c r="J37" i="1"/>
  <c r="K37" i="1"/>
  <c r="O37" i="1"/>
  <c r="P37" i="1"/>
  <c r="Q37" i="1"/>
  <c r="R37" i="1"/>
  <c r="W37" i="1"/>
  <c r="X37" i="1"/>
  <c r="Y37" i="1"/>
  <c r="Z37" i="1"/>
  <c r="AA37" i="1"/>
  <c r="B38" i="1"/>
  <c r="K40" i="1" s="1"/>
  <c r="C38" i="1"/>
  <c r="J41" i="1" s="1"/>
  <c r="G38" i="1"/>
  <c r="N38" i="1"/>
  <c r="V38" i="1"/>
  <c r="B39" i="1"/>
  <c r="J38" i="1" s="1"/>
  <c r="C39" i="1"/>
  <c r="H40" i="1" s="1"/>
  <c r="G39" i="1"/>
  <c r="N39" i="1"/>
  <c r="V39" i="1"/>
  <c r="B40" i="1"/>
  <c r="I41" i="1" s="1"/>
  <c r="C40" i="1"/>
  <c r="K39" i="1" s="1"/>
  <c r="G40" i="1"/>
  <c r="N40" i="1"/>
  <c r="V40" i="1"/>
  <c r="B41" i="1"/>
  <c r="H41" i="1" s="1"/>
  <c r="C41" i="1"/>
  <c r="K38" i="1" s="1"/>
  <c r="G41" i="1"/>
  <c r="N41" i="1"/>
  <c r="V41" i="1"/>
  <c r="B42" i="1"/>
  <c r="J39" i="1" s="1"/>
  <c r="C42" i="1"/>
  <c r="I40" i="1" s="1"/>
  <c r="A44" i="1"/>
  <c r="B45" i="1"/>
  <c r="I46" i="1" s="1"/>
  <c r="C45" i="1"/>
  <c r="H47" i="1" s="1"/>
  <c r="H45" i="1"/>
  <c r="I45" i="1"/>
  <c r="J45" i="1"/>
  <c r="K45" i="1"/>
  <c r="O45" i="1"/>
  <c r="P45" i="1"/>
  <c r="Q45" i="1"/>
  <c r="R45" i="1"/>
  <c r="W45" i="1"/>
  <c r="X45" i="1"/>
  <c r="Y45" i="1"/>
  <c r="Z45" i="1"/>
  <c r="AA45" i="1"/>
  <c r="B46" i="1"/>
  <c r="K48" i="1" s="1"/>
  <c r="C46" i="1"/>
  <c r="J49" i="1" s="1"/>
  <c r="G46" i="1"/>
  <c r="N46" i="1"/>
  <c r="V46" i="1"/>
  <c r="B47" i="1"/>
  <c r="J46" i="1" s="1"/>
  <c r="C47" i="1"/>
  <c r="H48" i="1" s="1"/>
  <c r="G47" i="1"/>
  <c r="N47" i="1"/>
  <c r="V47" i="1"/>
  <c r="B48" i="1"/>
  <c r="I49" i="1" s="1"/>
  <c r="C48" i="1"/>
  <c r="K47" i="1" s="1"/>
  <c r="G48" i="1"/>
  <c r="N48" i="1"/>
  <c r="V48" i="1"/>
  <c r="B49" i="1"/>
  <c r="H49" i="1" s="1"/>
  <c r="C49" i="1"/>
  <c r="K46" i="1" s="1"/>
  <c r="G49" i="1"/>
  <c r="N49" i="1"/>
  <c r="V49" i="1"/>
  <c r="B50" i="1"/>
  <c r="J47" i="1" s="1"/>
  <c r="C50" i="1"/>
  <c r="I48" i="1" s="1"/>
  <c r="A52" i="1"/>
  <c r="B53" i="1"/>
  <c r="I54" i="1" s="1"/>
  <c r="C53" i="1"/>
  <c r="H55" i="1" s="1"/>
  <c r="H53" i="1"/>
  <c r="I53" i="1"/>
  <c r="J53" i="1"/>
  <c r="K53" i="1"/>
  <c r="O53" i="1"/>
  <c r="P53" i="1"/>
  <c r="Q53" i="1"/>
  <c r="R53" i="1"/>
  <c r="W53" i="1"/>
  <c r="X53" i="1"/>
  <c r="Y53" i="1"/>
  <c r="Z53" i="1"/>
  <c r="AA53" i="1"/>
  <c r="B54" i="1"/>
  <c r="K56" i="1" s="1"/>
  <c r="C54" i="1"/>
  <c r="J57" i="1" s="1"/>
  <c r="G54" i="1"/>
  <c r="N54" i="1"/>
  <c r="V54" i="1"/>
  <c r="B55" i="1"/>
  <c r="J54" i="1" s="1"/>
  <c r="C55" i="1"/>
  <c r="H56" i="1" s="1"/>
  <c r="G55" i="1"/>
  <c r="N55" i="1"/>
  <c r="V55" i="1"/>
  <c r="B56" i="1"/>
  <c r="I57" i="1" s="1"/>
  <c r="C56" i="1"/>
  <c r="K55" i="1" s="1"/>
  <c r="G56" i="1"/>
  <c r="N56" i="1"/>
  <c r="V56" i="1"/>
  <c r="B57" i="1"/>
  <c r="H57" i="1" s="1"/>
  <c r="C57" i="1"/>
  <c r="K54" i="1" s="1"/>
  <c r="G57" i="1"/>
  <c r="N57" i="1"/>
  <c r="V57" i="1"/>
  <c r="B58" i="1"/>
  <c r="J55" i="1" s="1"/>
  <c r="C58" i="1"/>
  <c r="I56" i="1" s="1"/>
  <c r="A60" i="1"/>
  <c r="B61" i="1"/>
  <c r="I62" i="1" s="1"/>
  <c r="C61" i="1"/>
  <c r="H63" i="1" s="1"/>
  <c r="H61" i="1"/>
  <c r="I61" i="1"/>
  <c r="J61" i="1"/>
  <c r="K61" i="1"/>
  <c r="O61" i="1"/>
  <c r="P61" i="1"/>
  <c r="Q61" i="1"/>
  <c r="R61" i="1"/>
  <c r="W61" i="1"/>
  <c r="X61" i="1"/>
  <c r="Y61" i="1"/>
  <c r="Z61" i="1"/>
  <c r="AA61" i="1"/>
  <c r="B62" i="1"/>
  <c r="K64" i="1" s="1"/>
  <c r="C62" i="1"/>
  <c r="J65" i="1" s="1"/>
  <c r="G62" i="1"/>
  <c r="N62" i="1"/>
  <c r="V62" i="1"/>
  <c r="B63" i="1"/>
  <c r="J62" i="1" s="1"/>
  <c r="C63" i="1"/>
  <c r="H64" i="1" s="1"/>
  <c r="G63" i="1"/>
  <c r="N63" i="1"/>
  <c r="V63" i="1"/>
  <c r="B64" i="1"/>
  <c r="I65" i="1" s="1"/>
  <c r="C64" i="1"/>
  <c r="K63" i="1" s="1"/>
  <c r="G64" i="1"/>
  <c r="N64" i="1"/>
  <c r="V64" i="1"/>
  <c r="B65" i="1"/>
  <c r="H65" i="1" s="1"/>
  <c r="C65" i="1"/>
  <c r="K62" i="1" s="1"/>
  <c r="G65" i="1"/>
  <c r="N65" i="1"/>
  <c r="V65" i="1"/>
  <c r="B66" i="1"/>
  <c r="J63" i="1" s="1"/>
  <c r="C66" i="1"/>
  <c r="I64" i="1" s="1"/>
  <c r="A6" i="4"/>
  <c r="B6" i="4"/>
  <c r="A7" i="4"/>
  <c r="A43" i="4"/>
  <c r="A59" i="4"/>
  <c r="A66" i="4"/>
  <c r="A6" i="6"/>
  <c r="B6" i="6"/>
  <c r="A6" i="3"/>
  <c r="B6" i="3"/>
  <c r="A7" i="3"/>
  <c r="A5" i="1"/>
  <c r="G8" i="3"/>
  <c r="D5" i="1" s="1"/>
  <c r="M8" i="3"/>
  <c r="N8" i="3"/>
  <c r="O8" i="3"/>
  <c r="P8" i="3"/>
  <c r="S8" i="3"/>
  <c r="E9" i="3"/>
  <c r="A6" i="1" s="1"/>
  <c r="G9" i="3"/>
  <c r="D6" i="1" s="1"/>
  <c r="E10" i="3"/>
  <c r="A7" i="1" s="1"/>
  <c r="G10" i="3"/>
  <c r="D7" i="1" s="1"/>
  <c r="E11" i="3"/>
  <c r="A8" i="1" s="1"/>
  <c r="G11" i="3"/>
  <c r="D8" i="1" s="1"/>
  <c r="E12" i="3"/>
  <c r="A9" i="1" s="1"/>
  <c r="G12" i="3"/>
  <c r="D9" i="1" s="1"/>
  <c r="E13" i="3"/>
  <c r="A10" i="1" s="1"/>
  <c r="G13" i="3"/>
  <c r="D10" i="1" s="1"/>
  <c r="A15" i="3"/>
  <c r="E16" i="3"/>
  <c r="A13" i="1" s="1"/>
  <c r="G16" i="3"/>
  <c r="D13" i="1" s="1"/>
  <c r="M16" i="3"/>
  <c r="N16" i="3"/>
  <c r="O16" i="3"/>
  <c r="P16" i="3"/>
  <c r="S16" i="3"/>
  <c r="E17" i="3"/>
  <c r="A14" i="1" s="1"/>
  <c r="G17" i="3"/>
  <c r="D14" i="1" s="1"/>
  <c r="E18" i="3"/>
  <c r="A15" i="1" s="1"/>
  <c r="G18" i="3"/>
  <c r="D15" i="1" s="1"/>
  <c r="E19" i="3"/>
  <c r="A16" i="1" s="1"/>
  <c r="G19" i="3"/>
  <c r="D16" i="1" s="1"/>
  <c r="E20" i="3"/>
  <c r="A17" i="1" s="1"/>
  <c r="G20" i="3"/>
  <c r="D17" i="1" s="1"/>
  <c r="E21" i="3"/>
  <c r="A18" i="1" s="1"/>
  <c r="G21" i="3"/>
  <c r="D18" i="1" s="1"/>
  <c r="A23" i="3"/>
  <c r="E24" i="3"/>
  <c r="A21" i="1" s="1"/>
  <c r="G24" i="3"/>
  <c r="D21" i="1" s="1"/>
  <c r="M24" i="3"/>
  <c r="N24" i="3"/>
  <c r="O24" i="3"/>
  <c r="P24" i="3"/>
  <c r="S24" i="3"/>
  <c r="E25" i="3"/>
  <c r="A22" i="1" s="1"/>
  <c r="G25" i="3"/>
  <c r="D22" i="1" s="1"/>
  <c r="E26" i="3"/>
  <c r="A23" i="1" s="1"/>
  <c r="G26" i="3"/>
  <c r="D23" i="1" s="1"/>
  <c r="E27" i="3"/>
  <c r="A24" i="1" s="1"/>
  <c r="G27" i="3"/>
  <c r="D24" i="1" s="1"/>
  <c r="E28" i="3"/>
  <c r="A25" i="1" s="1"/>
  <c r="G28" i="3"/>
  <c r="D25" i="1" s="1"/>
  <c r="E29" i="3"/>
  <c r="A26" i="1" s="1"/>
  <c r="G29" i="3"/>
  <c r="D26" i="1" s="1"/>
  <c r="A31" i="3"/>
  <c r="E32" i="3"/>
  <c r="A29" i="1" s="1"/>
  <c r="G32" i="3"/>
  <c r="D29" i="1" s="1"/>
  <c r="M32" i="3"/>
  <c r="N32" i="3"/>
  <c r="O32" i="3"/>
  <c r="P32" i="3"/>
  <c r="S32" i="3"/>
  <c r="E33" i="3"/>
  <c r="A30" i="1" s="1"/>
  <c r="G33" i="3"/>
  <c r="D30" i="1" s="1"/>
  <c r="E34" i="3"/>
  <c r="A31" i="1" s="1"/>
  <c r="G34" i="3"/>
  <c r="D31" i="1" s="1"/>
  <c r="E35" i="3"/>
  <c r="A32" i="1" s="1"/>
  <c r="G35" i="3"/>
  <c r="D32" i="1" s="1"/>
  <c r="E36" i="3"/>
  <c r="A33" i="1" s="1"/>
  <c r="G36" i="3"/>
  <c r="D33" i="1" s="1"/>
  <c r="E37" i="3"/>
  <c r="A34" i="1" s="1"/>
  <c r="G37" i="3"/>
  <c r="D34" i="1" s="1"/>
  <c r="A39" i="3"/>
  <c r="E40" i="3"/>
  <c r="A37" i="1" s="1"/>
  <c r="G40" i="3"/>
  <c r="D37" i="1" s="1"/>
  <c r="M40" i="3"/>
  <c r="N40" i="3"/>
  <c r="O40" i="3"/>
  <c r="P40" i="3"/>
  <c r="S40" i="3"/>
  <c r="E41" i="3"/>
  <c r="A38" i="1" s="1"/>
  <c r="G41" i="3"/>
  <c r="D38" i="1" s="1"/>
  <c r="E42" i="3"/>
  <c r="A39" i="1" s="1"/>
  <c r="G42" i="3"/>
  <c r="D39" i="1" s="1"/>
  <c r="E43" i="3"/>
  <c r="A40" i="1" s="1"/>
  <c r="G43" i="3"/>
  <c r="D40" i="1" s="1"/>
  <c r="E44" i="3"/>
  <c r="A41" i="1" s="1"/>
  <c r="G44" i="3"/>
  <c r="D41" i="1" s="1"/>
  <c r="E45" i="3"/>
  <c r="A42" i="1" s="1"/>
  <c r="G45" i="3"/>
  <c r="D42" i="1" s="1"/>
  <c r="A47" i="3"/>
  <c r="E48" i="3"/>
  <c r="A45" i="1" s="1"/>
  <c r="G48" i="3"/>
  <c r="D45" i="1" s="1"/>
  <c r="M48" i="3"/>
  <c r="N48" i="3"/>
  <c r="O48" i="3"/>
  <c r="P48" i="3"/>
  <c r="S48" i="3"/>
  <c r="E49" i="3"/>
  <c r="A46" i="1" s="1"/>
  <c r="G49" i="3"/>
  <c r="D46" i="1" s="1"/>
  <c r="E50" i="3"/>
  <c r="A47" i="1" s="1"/>
  <c r="G50" i="3"/>
  <c r="D47" i="1" s="1"/>
  <c r="E51" i="3"/>
  <c r="A48" i="1" s="1"/>
  <c r="G51" i="3"/>
  <c r="D48" i="1" s="1"/>
  <c r="E52" i="3"/>
  <c r="A49" i="1" s="1"/>
  <c r="G52" i="3"/>
  <c r="D49" i="1" s="1"/>
  <c r="E53" i="3"/>
  <c r="A50" i="1" s="1"/>
  <c r="G53" i="3"/>
  <c r="D50" i="1" s="1"/>
  <c r="A55" i="3"/>
  <c r="E56" i="3"/>
  <c r="A53" i="1" s="1"/>
  <c r="G56" i="3"/>
  <c r="D53" i="1" s="1"/>
  <c r="M56" i="3"/>
  <c r="N56" i="3"/>
  <c r="O56" i="3"/>
  <c r="P56" i="3"/>
  <c r="S56" i="3"/>
  <c r="E57" i="3"/>
  <c r="A54" i="1" s="1"/>
  <c r="G57" i="3"/>
  <c r="D54" i="1" s="1"/>
  <c r="E58" i="3"/>
  <c r="A55" i="1" s="1"/>
  <c r="G58" i="3"/>
  <c r="D55" i="1" s="1"/>
  <c r="E59" i="3"/>
  <c r="A56" i="1" s="1"/>
  <c r="G59" i="3"/>
  <c r="D56" i="1" s="1"/>
  <c r="E60" i="3"/>
  <c r="A57" i="1" s="1"/>
  <c r="G60" i="3"/>
  <c r="D57" i="1" s="1"/>
  <c r="E61" i="3"/>
  <c r="A58" i="1" s="1"/>
  <c r="G61" i="3"/>
  <c r="D58" i="1" s="1"/>
  <c r="A63" i="3"/>
  <c r="E64" i="3"/>
  <c r="A61" i="1" s="1"/>
  <c r="G64" i="3"/>
  <c r="D61" i="1" s="1"/>
  <c r="M64" i="3"/>
  <c r="N64" i="3"/>
  <c r="O64" i="3"/>
  <c r="P64" i="3"/>
  <c r="S64" i="3"/>
  <c r="E65" i="3"/>
  <c r="A62" i="1" s="1"/>
  <c r="G65" i="3"/>
  <c r="D62" i="1" s="1"/>
  <c r="E66" i="3"/>
  <c r="A63" i="1" s="1"/>
  <c r="G66" i="3"/>
  <c r="D63" i="1" s="1"/>
  <c r="E67" i="3"/>
  <c r="A64" i="1" s="1"/>
  <c r="G67" i="3"/>
  <c r="D64" i="1" s="1"/>
  <c r="E68" i="3"/>
  <c r="A65" i="1" s="1"/>
  <c r="G68" i="3"/>
  <c r="D65" i="1" s="1"/>
  <c r="E69" i="3"/>
  <c r="A66" i="1" s="1"/>
  <c r="G69" i="3"/>
  <c r="D66" i="1" s="1"/>
  <c r="P64" i="1" l="1"/>
  <c r="Q49" i="1"/>
  <c r="O65" i="1"/>
  <c r="P49" i="1"/>
  <c r="O47" i="1"/>
  <c r="R47" i="1"/>
  <c r="Q41" i="1"/>
  <c r="P33" i="1"/>
  <c r="P32" i="1"/>
  <c r="Q25" i="1"/>
  <c r="P9" i="1"/>
  <c r="Q63" i="1"/>
  <c r="P65" i="1"/>
  <c r="R64" i="1"/>
  <c r="Z62" i="1"/>
  <c r="Q62" i="1"/>
  <c r="Z64" i="1"/>
  <c r="W64" i="1"/>
  <c r="Q65" i="1"/>
  <c r="O57" i="1"/>
  <c r="P57" i="1"/>
  <c r="Q54" i="1"/>
  <c r="R56" i="1"/>
  <c r="Q57" i="1"/>
  <c r="Z57" i="1"/>
  <c r="Z49" i="1"/>
  <c r="Q46" i="1"/>
  <c r="Q39" i="1"/>
  <c r="O41" i="1"/>
  <c r="R40" i="1"/>
  <c r="P40" i="1"/>
  <c r="Q31" i="1"/>
  <c r="R32" i="1"/>
  <c r="Q33" i="1"/>
  <c r="W32" i="1"/>
  <c r="R24" i="1"/>
  <c r="W23" i="1"/>
  <c r="R23" i="1"/>
  <c r="Q15" i="1"/>
  <c r="O17" i="1"/>
  <c r="P17" i="1"/>
  <c r="Q7" i="1"/>
  <c r="Y9" i="1"/>
  <c r="R7" i="1"/>
  <c r="R8" i="1"/>
  <c r="Q9" i="1"/>
  <c r="P6" i="1"/>
  <c r="Z65" i="1"/>
  <c r="R62" i="1"/>
  <c r="Y62" i="1"/>
  <c r="Z55" i="1"/>
  <c r="W56" i="1"/>
  <c r="P56" i="1"/>
  <c r="Y56" i="1"/>
  <c r="P41" i="1"/>
  <c r="Y41" i="1"/>
  <c r="Z63" i="1"/>
  <c r="Y65" i="1"/>
  <c r="W65" i="1"/>
  <c r="R63" i="1"/>
  <c r="G61" i="1"/>
  <c r="Q55" i="1"/>
  <c r="O64" i="1"/>
  <c r="Y64" i="1"/>
  <c r="R39" i="1"/>
  <c r="P62" i="1"/>
  <c r="W55" i="1"/>
  <c r="R54" i="1"/>
  <c r="Z47" i="1"/>
  <c r="P48" i="1"/>
  <c r="O49" i="1"/>
  <c r="Y49" i="1"/>
  <c r="O48" i="1"/>
  <c r="Y48" i="1"/>
  <c r="W48" i="1"/>
  <c r="Q47" i="1"/>
  <c r="R46" i="1"/>
  <c r="Z38" i="1"/>
  <c r="O39" i="1"/>
  <c r="Y39" i="1"/>
  <c r="W39" i="1"/>
  <c r="Q38" i="1"/>
  <c r="W38" i="1"/>
  <c r="O33" i="1"/>
  <c r="Y33" i="1"/>
  <c r="W33" i="1"/>
  <c r="O32" i="1"/>
  <c r="Y32" i="1"/>
  <c r="Z30" i="1"/>
  <c r="O31" i="1"/>
  <c r="Y31" i="1"/>
  <c r="W31" i="1"/>
  <c r="P30" i="1"/>
  <c r="W24" i="1"/>
  <c r="Y24" i="1"/>
  <c r="O24" i="1"/>
  <c r="P22" i="1"/>
  <c r="Y22" i="1"/>
  <c r="W22" i="1"/>
  <c r="G21" i="1"/>
  <c r="Z23" i="1"/>
  <c r="Q17" i="1"/>
  <c r="Y17" i="1"/>
  <c r="Q14" i="1"/>
  <c r="W14" i="1"/>
  <c r="Y14" i="1"/>
  <c r="Z16" i="1"/>
  <c r="O9" i="1"/>
  <c r="Z9" i="1"/>
  <c r="R6" i="1"/>
  <c r="W8" i="1"/>
  <c r="O8" i="1"/>
  <c r="Y8" i="1"/>
  <c r="W63" i="1"/>
  <c r="W57" i="1"/>
  <c r="O56" i="1"/>
  <c r="R55" i="1"/>
  <c r="W49" i="1"/>
  <c r="R48" i="1"/>
  <c r="W47" i="1"/>
  <c r="Z46" i="1"/>
  <c r="G45" i="1"/>
  <c r="Z41" i="1"/>
  <c r="R38" i="1"/>
  <c r="Z40" i="1"/>
  <c r="P38" i="1"/>
  <c r="G37" i="1"/>
  <c r="Y63" i="1"/>
  <c r="O63" i="1"/>
  <c r="W62" i="1"/>
  <c r="Y57" i="1"/>
  <c r="Z56" i="1"/>
  <c r="Z54" i="1"/>
  <c r="P54" i="1"/>
  <c r="Y54" i="1"/>
  <c r="W54" i="1"/>
  <c r="G53" i="1"/>
  <c r="Y47" i="1"/>
  <c r="Y46" i="1"/>
  <c r="Z48" i="1"/>
  <c r="W46" i="1"/>
  <c r="Z39" i="1"/>
  <c r="W41" i="1"/>
  <c r="W40" i="1"/>
  <c r="O40" i="1"/>
  <c r="Y40" i="1"/>
  <c r="Y38" i="1"/>
  <c r="R30" i="1"/>
  <c r="Z33" i="1"/>
  <c r="R31" i="1"/>
  <c r="Q30" i="1"/>
  <c r="W30" i="1"/>
  <c r="Y30" i="1"/>
  <c r="Z32" i="1"/>
  <c r="O25" i="1"/>
  <c r="Y25" i="1"/>
  <c r="W25" i="1"/>
  <c r="Y55" i="1"/>
  <c r="O55" i="1"/>
  <c r="P46" i="1"/>
  <c r="G29" i="1"/>
  <c r="P24" i="1"/>
  <c r="Q23" i="1"/>
  <c r="Z22" i="1"/>
  <c r="Z24" i="1"/>
  <c r="Q22" i="1"/>
  <c r="R15" i="1"/>
  <c r="Z14" i="1"/>
  <c r="O15" i="1"/>
  <c r="Y15" i="1"/>
  <c r="W15" i="1"/>
  <c r="P14" i="1"/>
  <c r="Z31" i="1"/>
  <c r="P25" i="1"/>
  <c r="Z25" i="1"/>
  <c r="R22" i="1"/>
  <c r="R16" i="1"/>
  <c r="Z17" i="1"/>
  <c r="Y23" i="1"/>
  <c r="O23" i="1"/>
  <c r="Z15" i="1"/>
  <c r="W17" i="1"/>
  <c r="R14" i="1"/>
  <c r="P16" i="1"/>
  <c r="G13" i="1"/>
  <c r="W9" i="1"/>
  <c r="Z6" i="1"/>
  <c r="Z8" i="1"/>
  <c r="Q6" i="1"/>
  <c r="W16" i="1"/>
  <c r="O16" i="1"/>
  <c r="Y16" i="1"/>
  <c r="P8" i="1"/>
  <c r="Z7" i="1"/>
  <c r="W7" i="1"/>
  <c r="G5" i="1"/>
  <c r="Y7" i="1"/>
  <c r="O7" i="1"/>
  <c r="W6" i="1"/>
  <c r="Y6" i="1"/>
  <c r="X65" i="1" l="1"/>
  <c r="X63" i="1"/>
  <c r="X7" i="1"/>
  <c r="X49" i="1"/>
  <c r="W34" i="1"/>
  <c r="X32" i="1"/>
  <c r="AA9" i="1"/>
  <c r="X9" i="1"/>
  <c r="X6" i="1"/>
  <c r="X57" i="1"/>
  <c r="X47" i="1"/>
  <c r="X40" i="1"/>
  <c r="X39" i="1"/>
  <c r="X33" i="1"/>
  <c r="X17" i="1"/>
  <c r="X55" i="1"/>
  <c r="X64" i="1"/>
  <c r="X56" i="1"/>
  <c r="X48" i="1"/>
  <c r="W50" i="1"/>
  <c r="X41" i="1"/>
  <c r="X23" i="1"/>
  <c r="X25" i="1"/>
  <c r="X16" i="1"/>
  <c r="X8" i="1"/>
  <c r="W10" i="1"/>
  <c r="N5" i="1"/>
  <c r="AA23" i="1"/>
  <c r="AA15" i="1"/>
  <c r="AA25" i="1"/>
  <c r="AA30" i="1"/>
  <c r="AA38" i="1"/>
  <c r="AA47" i="1"/>
  <c r="AA54" i="1"/>
  <c r="N37" i="1"/>
  <c r="X38" i="1"/>
  <c r="AA32" i="1"/>
  <c r="AA33" i="1"/>
  <c r="AA64" i="1"/>
  <c r="AA41" i="1"/>
  <c r="AA56" i="1"/>
  <c r="X15" i="1"/>
  <c r="AA55" i="1"/>
  <c r="N53" i="1"/>
  <c r="X54" i="1"/>
  <c r="AA57" i="1"/>
  <c r="AA63" i="1"/>
  <c r="W18" i="1"/>
  <c r="W26" i="1"/>
  <c r="X24" i="1"/>
  <c r="N29" i="1"/>
  <c r="X30" i="1"/>
  <c r="X31" i="1"/>
  <c r="AA49" i="1"/>
  <c r="N61" i="1"/>
  <c r="X62" i="1"/>
  <c r="AA65" i="1"/>
  <c r="AA62" i="1"/>
  <c r="AA6" i="1"/>
  <c r="AA7" i="1"/>
  <c r="AA14" i="1"/>
  <c r="AA17" i="1"/>
  <c r="N21" i="1"/>
  <c r="X22" i="1"/>
  <c r="AA31" i="1"/>
  <c r="N13" i="1"/>
  <c r="X14" i="1"/>
  <c r="AA40" i="1"/>
  <c r="AA16" i="1"/>
  <c r="X46" i="1"/>
  <c r="N45" i="1"/>
  <c r="AA46" i="1"/>
  <c r="W58" i="1"/>
  <c r="W66" i="1"/>
  <c r="AA8" i="1"/>
  <c r="AA22" i="1"/>
  <c r="AA24" i="1"/>
  <c r="W42" i="1"/>
  <c r="AA39" i="1"/>
  <c r="AA48" i="1"/>
  <c r="AG33" i="1" l="1"/>
  <c r="AG9" i="1"/>
  <c r="AG57" i="1"/>
  <c r="AG7" i="1"/>
  <c r="AG63" i="1"/>
  <c r="AG49" i="1"/>
  <c r="AG32" i="1"/>
  <c r="AG55" i="1"/>
  <c r="AG39" i="1"/>
  <c r="AG25" i="1"/>
  <c r="AG64" i="1"/>
  <c r="AG40" i="1"/>
  <c r="AG23" i="1"/>
  <c r="AG17" i="1"/>
  <c r="AG8" i="1"/>
  <c r="AG56" i="1"/>
  <c r="AG41" i="1"/>
  <c r="AG14" i="1"/>
  <c r="AG16" i="1"/>
  <c r="AG31" i="1"/>
  <c r="AG24" i="1"/>
  <c r="AG54" i="1"/>
  <c r="AG15" i="1"/>
  <c r="AG47" i="1"/>
  <c r="AG46" i="1"/>
  <c r="AG48" i="1"/>
  <c r="AG22" i="1"/>
  <c r="AG65" i="1"/>
  <c r="AG62" i="1"/>
  <c r="AG30" i="1"/>
  <c r="AG38" i="1"/>
  <c r="AG6" i="1"/>
  <c r="AH55" i="1" l="1"/>
  <c r="AI55" i="1" s="1"/>
  <c r="AL55" i="1" s="1"/>
  <c r="AM55" i="1" s="1"/>
  <c r="AH40" i="1"/>
  <c r="AI40" i="1" s="1"/>
  <c r="AL40" i="1" s="1"/>
  <c r="AM40" i="1" s="1"/>
  <c r="AH8" i="1"/>
  <c r="AI8" i="1" s="1"/>
  <c r="AL8" i="1" s="1"/>
  <c r="AM8" i="1" s="1"/>
  <c r="AH49" i="1"/>
  <c r="AI49" i="1" s="1"/>
  <c r="AL49" i="1" s="1"/>
  <c r="AM49" i="1" s="1"/>
  <c r="AH9" i="1"/>
  <c r="AI9" i="1" s="1"/>
  <c r="AL9" i="1" s="1"/>
  <c r="AM9" i="1" s="1"/>
  <c r="AH30" i="1"/>
  <c r="AH62" i="1"/>
  <c r="AH63" i="1"/>
  <c r="AI63" i="1" s="1"/>
  <c r="AL63" i="1" s="1"/>
  <c r="AM63" i="1" s="1"/>
  <c r="AH22" i="1"/>
  <c r="AH7" i="1"/>
  <c r="AI7" i="1" s="1"/>
  <c r="AL7" i="1" s="1"/>
  <c r="AM7" i="1" s="1"/>
  <c r="AH25" i="1"/>
  <c r="AI25" i="1" s="1"/>
  <c r="AL25" i="1" s="1"/>
  <c r="AM25" i="1" s="1"/>
  <c r="AH31" i="1"/>
  <c r="AI31" i="1" s="1"/>
  <c r="AL31" i="1" s="1"/>
  <c r="AM31" i="1" s="1"/>
  <c r="AH32" i="1"/>
  <c r="AI32" i="1" s="1"/>
  <c r="AL32" i="1" s="1"/>
  <c r="AM32" i="1" s="1"/>
  <c r="AH23" i="1"/>
  <c r="AI23" i="1" s="1"/>
  <c r="AL23" i="1" s="1"/>
  <c r="AM23" i="1" s="1"/>
  <c r="AH38" i="1"/>
  <c r="AH65" i="1"/>
  <c r="AI65" i="1" s="1"/>
  <c r="AL65" i="1" s="1"/>
  <c r="AM65" i="1" s="1"/>
  <c r="AH48" i="1"/>
  <c r="AI48" i="1" s="1"/>
  <c r="AL48" i="1" s="1"/>
  <c r="AM48" i="1" s="1"/>
  <c r="AH46" i="1"/>
  <c r="AH47" i="1"/>
  <c r="AI47" i="1" s="1"/>
  <c r="AL47" i="1" s="1"/>
  <c r="AM47" i="1" s="1"/>
  <c r="AH15" i="1"/>
  <c r="AI15" i="1" s="1"/>
  <c r="AL15" i="1" s="1"/>
  <c r="AM15" i="1" s="1"/>
  <c r="AH24" i="1"/>
  <c r="AI24" i="1" s="1"/>
  <c r="AL24" i="1" s="1"/>
  <c r="AM24" i="1" s="1"/>
  <c r="AH64" i="1"/>
  <c r="AI64" i="1" s="1"/>
  <c r="AL64" i="1" s="1"/>
  <c r="AM64" i="1" s="1"/>
  <c r="AH17" i="1"/>
  <c r="AI17" i="1" s="1"/>
  <c r="AL17" i="1" s="1"/>
  <c r="AM17" i="1" s="1"/>
  <c r="AH14" i="1"/>
  <c r="AH41" i="1"/>
  <c r="AI41" i="1" s="1"/>
  <c r="AL41" i="1" s="1"/>
  <c r="AM41" i="1" s="1"/>
  <c r="AH6" i="1"/>
  <c r="AH54" i="1"/>
  <c r="AH33" i="1"/>
  <c r="AI33" i="1" s="1"/>
  <c r="AL33" i="1" s="1"/>
  <c r="AM33" i="1" s="1"/>
  <c r="AH16" i="1"/>
  <c r="AI16" i="1" s="1"/>
  <c r="AL16" i="1" s="1"/>
  <c r="AM16" i="1" s="1"/>
  <c r="AH56" i="1"/>
  <c r="AI56" i="1" s="1"/>
  <c r="AL56" i="1" s="1"/>
  <c r="AM56" i="1" s="1"/>
  <c r="AH57" i="1"/>
  <c r="AI57" i="1" s="1"/>
  <c r="AL57" i="1" s="1"/>
  <c r="AM57" i="1" s="1"/>
  <c r="AH39" i="1"/>
  <c r="AI39" i="1" s="1"/>
  <c r="AL39" i="1" s="1"/>
  <c r="AM39" i="1" s="1"/>
  <c r="AI54" i="1" l="1"/>
  <c r="AL54" i="1" s="1"/>
  <c r="AM54" i="1" s="1"/>
  <c r="AH58" i="1"/>
  <c r="AQ53" i="1"/>
  <c r="AQ45" i="1"/>
  <c r="AI46" i="1"/>
  <c r="AL46" i="1" s="1"/>
  <c r="AM46" i="1" s="1"/>
  <c r="AH50" i="1"/>
  <c r="AQ29" i="1"/>
  <c r="AH34" i="1"/>
  <c r="AI30" i="1"/>
  <c r="AL30" i="1" s="1"/>
  <c r="AM30" i="1" s="1"/>
  <c r="AI6" i="1"/>
  <c r="AL6" i="1" s="1"/>
  <c r="AM6" i="1" s="1"/>
  <c r="AH10" i="1"/>
  <c r="AQ5" i="1"/>
  <c r="AQ13" i="1"/>
  <c r="AH18" i="1"/>
  <c r="AI14" i="1"/>
  <c r="AL14" i="1" s="1"/>
  <c r="AM14" i="1" s="1"/>
  <c r="AH42" i="1"/>
  <c r="AQ37" i="1"/>
  <c r="AI38" i="1"/>
  <c r="AL38" i="1" s="1"/>
  <c r="AM38" i="1" s="1"/>
  <c r="AI22" i="1"/>
  <c r="AL22" i="1" s="1"/>
  <c r="AM22" i="1" s="1"/>
  <c r="AH26" i="1"/>
  <c r="AQ21" i="1"/>
  <c r="AH66" i="1"/>
  <c r="AQ61" i="1"/>
  <c r="AI62" i="1"/>
  <c r="AL62" i="1" s="1"/>
  <c r="AM62" i="1" s="1"/>
  <c r="AU62" i="1" l="1"/>
  <c r="AN63" i="1"/>
  <c r="AU65" i="1"/>
  <c r="AU63" i="1"/>
  <c r="AN64" i="1"/>
  <c r="AN62" i="1"/>
  <c r="AU64" i="1"/>
  <c r="AN65" i="1"/>
  <c r="AN6" i="1"/>
  <c r="AU8" i="1"/>
  <c r="AN9" i="1"/>
  <c r="AU6" i="1"/>
  <c r="AN7" i="1"/>
  <c r="AU9" i="1"/>
  <c r="AU7" i="1"/>
  <c r="AN8" i="1"/>
  <c r="AU30" i="1"/>
  <c r="AN31" i="1"/>
  <c r="AU31" i="1"/>
  <c r="AN32" i="1"/>
  <c r="AN30" i="1"/>
  <c r="AU32" i="1"/>
  <c r="AN33" i="1"/>
  <c r="AU33" i="1"/>
  <c r="AT22" i="1"/>
  <c r="AT23" i="1"/>
  <c r="AT25" i="1"/>
  <c r="AR23" i="1"/>
  <c r="AR25" i="1"/>
  <c r="AT24" i="1"/>
  <c r="AR22" i="1"/>
  <c r="AS22" i="1"/>
  <c r="AS24" i="1"/>
  <c r="AS25" i="1"/>
  <c r="AR24" i="1"/>
  <c r="AS23" i="1"/>
  <c r="AR41" i="1"/>
  <c r="AT38" i="1"/>
  <c r="AR39" i="1"/>
  <c r="AT41" i="1"/>
  <c r="AT39" i="1"/>
  <c r="AT40" i="1"/>
  <c r="AR40" i="1"/>
  <c r="AS40" i="1"/>
  <c r="AS41" i="1"/>
  <c r="AS38" i="1"/>
  <c r="AS39" i="1"/>
  <c r="AR38" i="1"/>
  <c r="AR17" i="1"/>
  <c r="AT16" i="1"/>
  <c r="AR16" i="1"/>
  <c r="AT17" i="1"/>
  <c r="AT15" i="1"/>
  <c r="AT14" i="1"/>
  <c r="AS14" i="1"/>
  <c r="AS15" i="1"/>
  <c r="AS16" i="1"/>
  <c r="AS17" i="1"/>
  <c r="AR14" i="1"/>
  <c r="AR15" i="1"/>
  <c r="AT33" i="1"/>
  <c r="AR32" i="1"/>
  <c r="AT30" i="1"/>
  <c r="AT32" i="1"/>
  <c r="AT31" i="1"/>
  <c r="AR33" i="1"/>
  <c r="AS32" i="1"/>
  <c r="AR31" i="1"/>
  <c r="AR30" i="1"/>
  <c r="AS33" i="1"/>
  <c r="AS31" i="1"/>
  <c r="AS30" i="1"/>
  <c r="AT49" i="1"/>
  <c r="AR48" i="1"/>
  <c r="AT48" i="1"/>
  <c r="AR49" i="1"/>
  <c r="AR47" i="1"/>
  <c r="AT47" i="1"/>
  <c r="AT46" i="1"/>
  <c r="AS47" i="1"/>
  <c r="AR46" i="1"/>
  <c r="AS48" i="1"/>
  <c r="AS49" i="1"/>
  <c r="AS46" i="1"/>
  <c r="AT54" i="1"/>
  <c r="AT56" i="1"/>
  <c r="AT55" i="1"/>
  <c r="AT57" i="1"/>
  <c r="AR55" i="1"/>
  <c r="AR56" i="1"/>
  <c r="AR57" i="1"/>
  <c r="AS55" i="1"/>
  <c r="AR54" i="1"/>
  <c r="AS56" i="1"/>
  <c r="AS54" i="1"/>
  <c r="AS57" i="1"/>
  <c r="AU14" i="1"/>
  <c r="AN15" i="1"/>
  <c r="AU15" i="1"/>
  <c r="AN16" i="1"/>
  <c r="AN14" i="1"/>
  <c r="AN17" i="1"/>
  <c r="AU16" i="1"/>
  <c r="AU17" i="1"/>
  <c r="AR65" i="1"/>
  <c r="AT62" i="1"/>
  <c r="AT63" i="1"/>
  <c r="AT65" i="1"/>
  <c r="AR63" i="1"/>
  <c r="AT64" i="1"/>
  <c r="AR64" i="1"/>
  <c r="AS63" i="1"/>
  <c r="AS64" i="1"/>
  <c r="AS65" i="1"/>
  <c r="AR62" i="1"/>
  <c r="AS62" i="1"/>
  <c r="AN22" i="1"/>
  <c r="AU24" i="1"/>
  <c r="AN25" i="1"/>
  <c r="AU22" i="1"/>
  <c r="AN23" i="1"/>
  <c r="AU25" i="1"/>
  <c r="AN24" i="1"/>
  <c r="AU23" i="1"/>
  <c r="AU38" i="1"/>
  <c r="AN39" i="1"/>
  <c r="AU41" i="1"/>
  <c r="AU39" i="1"/>
  <c r="AN40" i="1"/>
  <c r="AN38" i="1"/>
  <c r="AN41" i="1"/>
  <c r="AU40" i="1"/>
  <c r="AT9" i="1"/>
  <c r="AS9" i="1"/>
  <c r="AR8" i="1"/>
  <c r="AR6" i="1"/>
  <c r="AR9" i="1"/>
  <c r="AT6" i="1"/>
  <c r="AT7" i="1"/>
  <c r="AR7" i="1"/>
  <c r="AT8" i="1"/>
  <c r="AS6" i="1"/>
  <c r="AS8" i="1"/>
  <c r="AS7" i="1"/>
  <c r="AU47" i="1"/>
  <c r="AN48" i="1"/>
  <c r="AN46" i="1"/>
  <c r="AU48" i="1"/>
  <c r="AN49" i="1"/>
  <c r="AN47" i="1"/>
  <c r="AU49" i="1"/>
  <c r="AU46" i="1"/>
  <c r="AN54" i="1"/>
  <c r="AU54" i="1"/>
  <c r="AN55" i="1"/>
  <c r="AU56" i="1"/>
  <c r="AN57" i="1"/>
  <c r="AU55" i="1"/>
  <c r="AU57" i="1"/>
  <c r="AN56" i="1"/>
  <c r="AX8" i="1" l="1"/>
  <c r="AX56" i="1"/>
  <c r="AX57" i="1"/>
  <c r="AX46" i="1"/>
  <c r="AX38" i="1"/>
  <c r="AX39" i="1"/>
  <c r="AX30" i="1"/>
  <c r="AX17" i="1"/>
  <c r="AX7" i="1"/>
  <c r="AX54" i="1"/>
  <c r="AX47" i="1"/>
  <c r="AX40" i="1"/>
  <c r="AX24" i="1"/>
  <c r="AX22" i="1"/>
  <c r="AX31" i="1"/>
  <c r="AX6" i="1"/>
  <c r="AX62" i="1"/>
  <c r="AX55" i="1"/>
  <c r="AX49" i="1"/>
  <c r="AX48" i="1"/>
  <c r="AX41" i="1"/>
  <c r="AX25" i="1"/>
  <c r="AX14" i="1"/>
  <c r="AX15" i="1"/>
  <c r="AX33" i="1"/>
  <c r="AX32" i="1"/>
  <c r="AX9" i="1"/>
  <c r="AX65" i="1"/>
  <c r="AX64" i="1"/>
  <c r="AX63" i="1"/>
  <c r="AX23" i="1"/>
  <c r="AX16" i="1"/>
  <c r="AY8" i="1" l="1"/>
  <c r="AY38" i="1"/>
  <c r="AY56" i="1"/>
  <c r="AY57" i="1"/>
  <c r="AY46" i="1"/>
  <c r="BC46" i="1"/>
  <c r="BD46" i="1" s="1"/>
  <c r="AY39" i="1"/>
  <c r="AY30" i="1"/>
  <c r="AY17" i="1"/>
  <c r="AY7" i="1"/>
  <c r="BC8" i="1"/>
  <c r="BD8" i="1" s="1"/>
  <c r="BC7" i="1"/>
  <c r="BD7" i="1" s="1"/>
  <c r="AY23" i="1"/>
  <c r="BC23" i="1"/>
  <c r="BD23" i="1" s="1"/>
  <c r="AY63" i="1"/>
  <c r="BC63" i="1"/>
  <c r="BD63" i="1" s="1"/>
  <c r="AY9" i="1"/>
  <c r="BC9" i="1"/>
  <c r="BD9" i="1" s="1"/>
  <c r="AY15" i="1"/>
  <c r="BC15" i="1"/>
  <c r="BD15" i="1" s="1"/>
  <c r="BC41" i="1"/>
  <c r="BD41" i="1" s="1"/>
  <c r="AY41" i="1"/>
  <c r="AY55" i="1"/>
  <c r="BC55" i="1"/>
  <c r="BD55" i="1" s="1"/>
  <c r="BC62" i="1"/>
  <c r="BD62" i="1" s="1"/>
  <c r="AY62" i="1"/>
  <c r="BC39" i="1"/>
  <c r="BD39" i="1" s="1"/>
  <c r="AY54" i="1"/>
  <c r="BC54" i="1"/>
  <c r="BD54" i="1" s="1"/>
  <c r="AY64" i="1"/>
  <c r="BC64" i="1"/>
  <c r="BD64" i="1" s="1"/>
  <c r="AY32" i="1"/>
  <c r="BC32" i="1"/>
  <c r="BD32" i="1" s="1"/>
  <c r="BC14" i="1"/>
  <c r="BD14" i="1" s="1"/>
  <c r="AY14" i="1"/>
  <c r="AY48" i="1"/>
  <c r="BC48" i="1"/>
  <c r="BD48" i="1" s="1"/>
  <c r="BC57" i="1"/>
  <c r="BD57" i="1" s="1"/>
  <c r="AY6" i="1"/>
  <c r="BC6" i="1"/>
  <c r="BD6" i="1" s="1"/>
  <c r="BC30" i="1"/>
  <c r="BD30" i="1" s="1"/>
  <c r="AY22" i="1"/>
  <c r="BC22" i="1"/>
  <c r="BD22" i="1" s="1"/>
  <c r="AY16" i="1"/>
  <c r="BC16" i="1"/>
  <c r="BD16" i="1" s="1"/>
  <c r="BC38" i="1"/>
  <c r="BD38" i="1" s="1"/>
  <c r="BC65" i="1"/>
  <c r="BD65" i="1" s="1"/>
  <c r="AY65" i="1"/>
  <c r="AY33" i="1"/>
  <c r="BC33" i="1"/>
  <c r="BD33" i="1" s="1"/>
  <c r="AY25" i="1"/>
  <c r="BC25" i="1"/>
  <c r="BD25" i="1" s="1"/>
  <c r="AY49" i="1"/>
  <c r="BC49" i="1"/>
  <c r="BD49" i="1" s="1"/>
  <c r="BC31" i="1"/>
  <c r="BD31" i="1" s="1"/>
  <c r="AY31" i="1"/>
  <c r="BC17" i="1"/>
  <c r="BD17" i="1" s="1"/>
  <c r="BC24" i="1"/>
  <c r="BD24" i="1" s="1"/>
  <c r="AY24" i="1"/>
  <c r="AY40" i="1"/>
  <c r="BC40" i="1"/>
  <c r="BD40" i="1" s="1"/>
  <c r="BC47" i="1"/>
  <c r="BD47" i="1" s="1"/>
  <c r="AY47" i="1"/>
  <c r="BC56" i="1"/>
  <c r="BD56" i="1" s="1"/>
  <c r="AZ6" i="1" l="1"/>
  <c r="AZ65" i="1"/>
  <c r="AZ48" i="1"/>
  <c r="AZ25" i="1"/>
  <c r="AZ40" i="1"/>
  <c r="AZ54" i="1"/>
  <c r="AZ62" i="1"/>
  <c r="AZ57" i="1"/>
  <c r="AZ55" i="1"/>
  <c r="AZ47" i="1"/>
  <c r="AZ46" i="1"/>
  <c r="AZ41" i="1"/>
  <c r="AZ39" i="1"/>
  <c r="AZ32" i="1"/>
  <c r="AZ31" i="1"/>
  <c r="AZ24" i="1"/>
  <c r="AZ14" i="1"/>
  <c r="AZ15" i="1"/>
  <c r="AZ9" i="1"/>
  <c r="AZ7" i="1"/>
  <c r="BD26" i="1"/>
  <c r="BF26" i="1" s="1"/>
  <c r="AD26" i="1" s="1"/>
  <c r="BD10" i="1"/>
  <c r="BF10" i="1" s="1"/>
  <c r="AD10" i="1" s="1"/>
  <c r="BD18" i="1"/>
  <c r="BF18" i="1" s="1"/>
  <c r="AD18" i="1" s="1"/>
  <c r="L16" i="3" s="1"/>
  <c r="BD66" i="1"/>
  <c r="AZ23" i="1"/>
  <c r="AZ49" i="1"/>
  <c r="AZ16" i="1"/>
  <c r="AZ56" i="1"/>
  <c r="AZ22" i="1"/>
  <c r="AZ64" i="1"/>
  <c r="BD58" i="1"/>
  <c r="AZ30" i="1"/>
  <c r="AZ63" i="1"/>
  <c r="AZ8" i="1"/>
  <c r="AZ33" i="1"/>
  <c r="BD42" i="1"/>
  <c r="BF42" i="1" s="1"/>
  <c r="AD42" i="1" s="1"/>
  <c r="BD34" i="1"/>
  <c r="BF34" i="1" s="1"/>
  <c r="AD34" i="1" s="1"/>
  <c r="AZ38" i="1"/>
  <c r="AZ17" i="1"/>
  <c r="BD50" i="1"/>
  <c r="BF50" i="1" s="1"/>
  <c r="AD50" i="1" s="1"/>
  <c r="BA65" i="1" l="1"/>
  <c r="BA9" i="1"/>
  <c r="BA47" i="1"/>
  <c r="BA22" i="1"/>
  <c r="BA40" i="1"/>
  <c r="BA62" i="1"/>
  <c r="BA49" i="1"/>
  <c r="BA38" i="1"/>
  <c r="BA31" i="1"/>
  <c r="BA23" i="1"/>
  <c r="BA54" i="1"/>
  <c r="BA56" i="1"/>
  <c r="BA64" i="1"/>
  <c r="BA57" i="1"/>
  <c r="BA55" i="1"/>
  <c r="L52" i="3"/>
  <c r="L48" i="3"/>
  <c r="BA48" i="1"/>
  <c r="L44" i="3"/>
  <c r="L40" i="3"/>
  <c r="BA39" i="1"/>
  <c r="L32" i="3"/>
  <c r="L36" i="3"/>
  <c r="BA32" i="1"/>
  <c r="BA33" i="1"/>
  <c r="L24" i="3"/>
  <c r="L28" i="3"/>
  <c r="K18" i="3"/>
  <c r="L21" i="3"/>
  <c r="K19" i="3"/>
  <c r="K17" i="3"/>
  <c r="K20" i="3"/>
  <c r="BA17" i="1"/>
  <c r="BA16" i="1"/>
  <c r="BA14" i="1"/>
  <c r="L12" i="3"/>
  <c r="L8" i="3"/>
  <c r="BA6" i="1"/>
  <c r="BA8" i="1"/>
  <c r="BA63" i="1"/>
  <c r="BA46" i="1"/>
  <c r="BA15" i="1"/>
  <c r="BA24" i="1"/>
  <c r="BA7" i="1"/>
  <c r="BA25" i="1"/>
  <c r="BA30" i="1"/>
  <c r="BA41" i="1"/>
  <c r="BB22" i="1" l="1"/>
  <c r="BE22" i="1" s="1"/>
  <c r="BB40" i="1"/>
  <c r="AD40" i="1" s="1"/>
  <c r="BB38" i="1"/>
  <c r="AD38" i="1" s="1"/>
  <c r="BB9" i="1"/>
  <c r="BE9" i="1" s="1"/>
  <c r="BB55" i="1"/>
  <c r="AD55" i="1" s="1"/>
  <c r="BB54" i="1"/>
  <c r="BE54" i="1" s="1"/>
  <c r="BB64" i="1"/>
  <c r="AD64" i="1" s="1"/>
  <c r="BB62" i="1"/>
  <c r="AD62" i="1" s="1"/>
  <c r="BB63" i="1"/>
  <c r="AD63" i="1" s="1"/>
  <c r="BB65" i="1"/>
  <c r="BE65" i="1" s="1"/>
  <c r="BB56" i="1"/>
  <c r="AD56" i="1" s="1"/>
  <c r="BB57" i="1"/>
  <c r="BE57" i="1" s="1"/>
  <c r="K50" i="3"/>
  <c r="L53" i="3"/>
  <c r="K51" i="3"/>
  <c r="K49" i="3"/>
  <c r="K52" i="3"/>
  <c r="K43" i="3"/>
  <c r="K41" i="3"/>
  <c r="K44" i="3"/>
  <c r="K42" i="3"/>
  <c r="L45" i="3"/>
  <c r="BB41" i="1"/>
  <c r="AD41" i="1" s="1"/>
  <c r="BB39" i="1"/>
  <c r="AD39" i="1" s="1"/>
  <c r="K33" i="3"/>
  <c r="K35" i="3"/>
  <c r="K34" i="3"/>
  <c r="L37" i="3"/>
  <c r="K36" i="3"/>
  <c r="K25" i="3"/>
  <c r="K28" i="3"/>
  <c r="K26" i="3"/>
  <c r="L29" i="3"/>
  <c r="K27" i="3"/>
  <c r="BB24" i="1"/>
  <c r="AD24" i="1" s="1"/>
  <c r="BB25" i="1"/>
  <c r="AD25" i="1" s="1"/>
  <c r="BB23" i="1"/>
  <c r="AD23" i="1" s="1"/>
  <c r="BB15" i="1"/>
  <c r="AD15" i="1" s="1"/>
  <c r="BB16" i="1"/>
  <c r="BE16" i="1" s="1"/>
  <c r="BB14" i="1"/>
  <c r="AD14" i="1" s="1"/>
  <c r="K9" i="3"/>
  <c r="K10" i="3"/>
  <c r="L13" i="3"/>
  <c r="K11" i="3"/>
  <c r="K12" i="3"/>
  <c r="BB6" i="1"/>
  <c r="BE6" i="1" s="1"/>
  <c r="BB7" i="1"/>
  <c r="AD7" i="1" s="1"/>
  <c r="BB8" i="1"/>
  <c r="AD8" i="1" s="1"/>
  <c r="BB17" i="1"/>
  <c r="BB48" i="1"/>
  <c r="BB46" i="1"/>
  <c r="BB49" i="1"/>
  <c r="BB47" i="1"/>
  <c r="BB32" i="1"/>
  <c r="BB30" i="1"/>
  <c r="BB33" i="1"/>
  <c r="BB31" i="1"/>
  <c r="AD22" i="1" l="1"/>
  <c r="M28" i="3" s="1"/>
  <c r="AD9" i="1"/>
  <c r="BE41" i="1"/>
  <c r="BE38" i="1"/>
  <c r="AD54" i="1"/>
  <c r="BE40" i="1"/>
  <c r="BE55" i="1"/>
  <c r="BE64" i="1"/>
  <c r="BE62" i="1"/>
  <c r="BE63" i="1"/>
  <c r="AD65" i="1"/>
  <c r="AD57" i="1"/>
  <c r="BE56" i="1"/>
  <c r="BE39" i="1"/>
  <c r="BE24" i="1"/>
  <c r="BE25" i="1"/>
  <c r="BE23" i="1"/>
  <c r="BE15" i="1"/>
  <c r="BE14" i="1"/>
  <c r="AD16" i="1"/>
  <c r="AD6" i="1"/>
  <c r="M9" i="3" s="1"/>
  <c r="BE8" i="1"/>
  <c r="BE7" i="1"/>
  <c r="AD33" i="1"/>
  <c r="BE33" i="1"/>
  <c r="N28" i="3"/>
  <c r="N25" i="3"/>
  <c r="P25" i="3"/>
  <c r="N27" i="3"/>
  <c r="P27" i="3"/>
  <c r="R26" i="3"/>
  <c r="P28" i="3"/>
  <c r="R28" i="3"/>
  <c r="R25" i="3"/>
  <c r="O25" i="3"/>
  <c r="R27" i="3"/>
  <c r="O27" i="3"/>
  <c r="O26" i="3"/>
  <c r="P26" i="3"/>
  <c r="S28" i="3"/>
  <c r="O28" i="3"/>
  <c r="M25" i="3"/>
  <c r="E9" i="4" s="1"/>
  <c r="I18" i="4" s="1"/>
  <c r="E34" i="4" s="1"/>
  <c r="E41" i="4" s="1"/>
  <c r="S25" i="3"/>
  <c r="M27" i="3"/>
  <c r="S27" i="3"/>
  <c r="N26" i="3"/>
  <c r="S26" i="3"/>
  <c r="M26" i="3"/>
  <c r="I11" i="4" s="1"/>
  <c r="I21" i="4" s="1"/>
  <c r="I25" i="4" s="1"/>
  <c r="I28" i="4" s="1"/>
  <c r="AD47" i="1"/>
  <c r="BE47" i="1"/>
  <c r="AD48" i="1"/>
  <c r="BE48" i="1"/>
  <c r="AD30" i="1"/>
  <c r="BE30" i="1"/>
  <c r="AD49" i="1"/>
  <c r="BE49" i="1"/>
  <c r="AD17" i="1"/>
  <c r="BE17" i="1"/>
  <c r="AD31" i="1"/>
  <c r="BE31" i="1"/>
  <c r="AD32" i="1"/>
  <c r="BE32" i="1"/>
  <c r="S43" i="3"/>
  <c r="M43" i="3"/>
  <c r="O42" i="3"/>
  <c r="R42" i="3"/>
  <c r="O44" i="3"/>
  <c r="P44" i="3"/>
  <c r="M41" i="3"/>
  <c r="E12" i="4" s="1"/>
  <c r="E45" i="4" s="1"/>
  <c r="I50" i="4" s="1"/>
  <c r="E57" i="4" s="1"/>
  <c r="R41" i="3"/>
  <c r="N43" i="3"/>
  <c r="P43" i="3"/>
  <c r="S42" i="3"/>
  <c r="M42" i="3"/>
  <c r="I14" i="4" s="1"/>
  <c r="E20" i="4" s="1"/>
  <c r="E25" i="4" s="1"/>
  <c r="I31" i="4" s="1"/>
  <c r="N44" i="3"/>
  <c r="S44" i="3"/>
  <c r="O41" i="3"/>
  <c r="P41" i="3"/>
  <c r="O43" i="3"/>
  <c r="R43" i="3"/>
  <c r="N42" i="3"/>
  <c r="P42" i="3"/>
  <c r="R44" i="3"/>
  <c r="M44" i="3"/>
  <c r="S41" i="3"/>
  <c r="N41" i="3"/>
  <c r="AD46" i="1"/>
  <c r="BE46" i="1"/>
  <c r="E20" i="6" l="1"/>
  <c r="E25" i="6" s="1"/>
  <c r="I28" i="6" s="1"/>
  <c r="I14" i="6"/>
  <c r="E19" i="6"/>
  <c r="I24" i="6" s="1"/>
  <c r="E31" i="6" s="1"/>
  <c r="E12" i="6"/>
  <c r="I18" i="6"/>
  <c r="E34" i="6" s="1"/>
  <c r="E38" i="6" s="1"/>
  <c r="E9" i="6"/>
  <c r="I21" i="6"/>
  <c r="I25" i="6" s="1"/>
  <c r="I31" i="6" s="1"/>
  <c r="I11" i="6"/>
  <c r="N18" i="3"/>
  <c r="N20" i="3"/>
  <c r="BE58" i="1"/>
  <c r="BF58" i="1" s="1"/>
  <c r="AD58" i="1" s="1"/>
  <c r="L60" i="3" s="1"/>
  <c r="R11" i="3"/>
  <c r="O20" i="3"/>
  <c r="N19" i="3"/>
  <c r="S18" i="3"/>
  <c r="N9" i="3"/>
  <c r="O11" i="3"/>
  <c r="BE42" i="1"/>
  <c r="N17" i="3"/>
  <c r="P17" i="3"/>
  <c r="M17" i="3"/>
  <c r="E10" i="4" s="1"/>
  <c r="E21" i="4" s="1"/>
  <c r="I35" i="4" s="1"/>
  <c r="I41" i="4" s="1"/>
  <c r="BE26" i="1"/>
  <c r="M19" i="3"/>
  <c r="N11" i="3"/>
  <c r="R12" i="3"/>
  <c r="S12" i="3"/>
  <c r="P10" i="3"/>
  <c r="O10" i="3"/>
  <c r="E8" i="4"/>
  <c r="E18" i="4" s="1"/>
  <c r="E24" i="4" s="1"/>
  <c r="E31" i="4" s="1"/>
  <c r="BE10" i="1"/>
  <c r="BE66" i="1"/>
  <c r="BF66" i="1" s="1"/>
  <c r="AD66" i="1" s="1"/>
  <c r="BE50" i="1"/>
  <c r="R17" i="3"/>
  <c r="S17" i="3"/>
  <c r="O17" i="3"/>
  <c r="R18" i="3"/>
  <c r="P19" i="3"/>
  <c r="BE18" i="1"/>
  <c r="S19" i="3"/>
  <c r="R19" i="3"/>
  <c r="O19" i="3"/>
  <c r="O18" i="3"/>
  <c r="S20" i="3"/>
  <c r="P18" i="3"/>
  <c r="P20" i="3"/>
  <c r="M18" i="3"/>
  <c r="I8" i="4" s="1"/>
  <c r="E44" i="4" s="1"/>
  <c r="E60" i="4" s="1"/>
  <c r="E67" i="4" s="1"/>
  <c r="M20" i="3"/>
  <c r="M10" i="3"/>
  <c r="I10" i="4" s="1"/>
  <c r="E47" i="4" s="1"/>
  <c r="I61" i="4" s="1"/>
  <c r="I67" i="4" s="1"/>
  <c r="A71" i="4" s="1"/>
  <c r="P9" i="3"/>
  <c r="N12" i="3"/>
  <c r="M11" i="3"/>
  <c r="S9" i="3"/>
  <c r="S10" i="3"/>
  <c r="P12" i="3"/>
  <c r="N10" i="3"/>
  <c r="P11" i="3"/>
  <c r="O9" i="3"/>
  <c r="R10" i="3"/>
  <c r="S11" i="3"/>
  <c r="M12" i="3"/>
  <c r="R9" i="3"/>
  <c r="O12" i="3"/>
  <c r="R51" i="3"/>
  <c r="O51" i="3"/>
  <c r="O50" i="3"/>
  <c r="P50" i="3"/>
  <c r="M52" i="3"/>
  <c r="N52" i="3"/>
  <c r="N49" i="3"/>
  <c r="P49" i="3"/>
  <c r="R50" i="3"/>
  <c r="M50" i="3"/>
  <c r="I12" i="4" s="1"/>
  <c r="E19" i="4" s="1"/>
  <c r="I24" i="4" s="1"/>
  <c r="E28" i="4" s="1"/>
  <c r="S52" i="3"/>
  <c r="M49" i="3"/>
  <c r="E14" i="4" s="1"/>
  <c r="E46" i="4" s="1"/>
  <c r="E61" i="4" s="1"/>
  <c r="I64" i="4" s="1"/>
  <c r="M51" i="3"/>
  <c r="S51" i="3"/>
  <c r="N50" i="3"/>
  <c r="S50" i="3"/>
  <c r="P52" i="3"/>
  <c r="R52" i="3"/>
  <c r="R49" i="3"/>
  <c r="O49" i="3"/>
  <c r="N51" i="3"/>
  <c r="P51" i="3"/>
  <c r="O52" i="3"/>
  <c r="S49" i="3"/>
  <c r="R20" i="3"/>
  <c r="BE34" i="1"/>
  <c r="S34" i="3"/>
  <c r="O34" i="3"/>
  <c r="O35" i="3"/>
  <c r="S35" i="3"/>
  <c r="S33" i="3"/>
  <c r="O33" i="3"/>
  <c r="O36" i="3"/>
  <c r="M36" i="3"/>
  <c r="P35" i="3"/>
  <c r="P33" i="3"/>
  <c r="R33" i="3"/>
  <c r="M34" i="3"/>
  <c r="I9" i="4" s="1"/>
  <c r="I44" i="4" s="1"/>
  <c r="E50" i="4" s="1"/>
  <c r="E54" i="4" s="1"/>
  <c r="N34" i="3"/>
  <c r="M35" i="3"/>
  <c r="N35" i="3"/>
  <c r="M33" i="3"/>
  <c r="E11" i="4" s="1"/>
  <c r="I47" i="4" s="1"/>
  <c r="I51" i="4" s="1"/>
  <c r="I54" i="4" s="1"/>
  <c r="N33" i="3"/>
  <c r="S36" i="3"/>
  <c r="P36" i="3"/>
  <c r="P34" i="3"/>
  <c r="R34" i="3"/>
  <c r="R35" i="3"/>
  <c r="N36" i="3"/>
  <c r="R36" i="3"/>
  <c r="L56" i="3" l="1"/>
  <c r="E46" i="6"/>
  <c r="E51" i="6" s="1"/>
  <c r="I57" i="6" s="1"/>
  <c r="E14" i="6"/>
  <c r="E45" i="6"/>
  <c r="I50" i="6" s="1"/>
  <c r="E57" i="6" s="1"/>
  <c r="I12" i="6"/>
  <c r="I44" i="6"/>
  <c r="E50" i="6" s="1"/>
  <c r="E54" i="6" s="1"/>
  <c r="I9" i="6"/>
  <c r="I47" i="6"/>
  <c r="I61" i="6" s="1"/>
  <c r="I64" i="6" s="1"/>
  <c r="E11" i="6"/>
  <c r="E18" i="6"/>
  <c r="E24" i="6" s="1"/>
  <c r="E28" i="6" s="1"/>
  <c r="I8" i="6"/>
  <c r="E47" i="6"/>
  <c r="I51" i="6" s="1"/>
  <c r="I54" i="6" s="1"/>
  <c r="E10" i="6"/>
  <c r="E21" i="6"/>
  <c r="I35" i="6" s="1"/>
  <c r="I38" i="6" s="1"/>
  <c r="I10" i="6"/>
  <c r="E44" i="6"/>
  <c r="E60" i="6" s="1"/>
  <c r="E67" i="6" s="1"/>
  <c r="A71" i="6" s="1"/>
  <c r="E8" i="6"/>
  <c r="K57" i="3"/>
  <c r="K59" i="3"/>
  <c r="K58" i="3"/>
  <c r="K60" i="3"/>
  <c r="L61" i="3"/>
  <c r="L64" i="3"/>
  <c r="L68" i="3"/>
  <c r="M58" i="3" l="1"/>
  <c r="I15" i="4" s="1"/>
  <c r="I20" i="4" s="1"/>
  <c r="E35" i="4" s="1"/>
  <c r="I38" i="4" s="1"/>
  <c r="R58" i="3"/>
  <c r="N58" i="3"/>
  <c r="S58" i="3"/>
  <c r="P58" i="3"/>
  <c r="O58" i="3"/>
  <c r="O59" i="3"/>
  <c r="R59" i="3"/>
  <c r="N59" i="3"/>
  <c r="S59" i="3"/>
  <c r="P59" i="3"/>
  <c r="M59" i="3"/>
  <c r="S60" i="3"/>
  <c r="R60" i="3"/>
  <c r="P60" i="3"/>
  <c r="O60" i="3"/>
  <c r="N60" i="3"/>
  <c r="M60" i="3"/>
  <c r="N57" i="3"/>
  <c r="R57" i="3"/>
  <c r="S57" i="3"/>
  <c r="O57" i="3"/>
  <c r="P57" i="3"/>
  <c r="M57" i="3"/>
  <c r="E13" i="4" s="1"/>
  <c r="I45" i="4" s="1"/>
  <c r="I60" i="4" s="1"/>
  <c r="E64" i="4" s="1"/>
  <c r="K65" i="3"/>
  <c r="L69" i="3"/>
  <c r="K68" i="3"/>
  <c r="K67" i="3"/>
  <c r="K66" i="3"/>
  <c r="I46" i="6" l="1"/>
  <c r="E61" i="6" s="1"/>
  <c r="I67" i="6" s="1"/>
  <c r="I15" i="6"/>
  <c r="I45" i="6"/>
  <c r="I60" i="6" s="1"/>
  <c r="E64" i="6" s="1"/>
  <c r="E13" i="6"/>
  <c r="M68" i="3"/>
  <c r="N68" i="3"/>
  <c r="P68" i="3"/>
  <c r="O68" i="3"/>
  <c r="R68" i="3"/>
  <c r="S68" i="3"/>
  <c r="M66" i="3"/>
  <c r="I13" i="4" s="1"/>
  <c r="I19" i="4" s="1"/>
  <c r="I34" i="4" s="1"/>
  <c r="E38" i="4" s="1"/>
  <c r="R66" i="3"/>
  <c r="O66" i="3"/>
  <c r="N66" i="3"/>
  <c r="S66" i="3"/>
  <c r="P66" i="3"/>
  <c r="P67" i="3"/>
  <c r="O67" i="3"/>
  <c r="S67" i="3"/>
  <c r="N67" i="3"/>
  <c r="R67" i="3"/>
  <c r="M67" i="3"/>
  <c r="N65" i="3"/>
  <c r="P65" i="3"/>
  <c r="M65" i="3"/>
  <c r="E15" i="4" s="1"/>
  <c r="I46" i="4" s="1"/>
  <c r="E51" i="4" s="1"/>
  <c r="I57" i="4" s="1"/>
  <c r="S65" i="3"/>
  <c r="R65" i="3"/>
  <c r="O65" i="3"/>
  <c r="I19" i="6" l="1"/>
  <c r="I34" i="6" s="1"/>
  <c r="E41" i="6" s="1"/>
  <c r="I13" i="6"/>
  <c r="I20" i="6"/>
  <c r="E35" i="6" s="1"/>
  <c r="I41" i="6" s="1"/>
  <c r="E15" i="6"/>
</calcChain>
</file>

<file path=xl/sharedStrings.xml><?xml version="1.0" encoding="utf-8"?>
<sst xmlns="http://schemas.openxmlformats.org/spreadsheetml/2006/main" count="609" uniqueCount="215">
  <si>
    <t>SPIELPLAN - Vorrunde</t>
  </si>
  <si>
    <t>Spielzeit: 1x15min    +    5 min Wechselzeit zw. den Spielen</t>
  </si>
  <si>
    <t>Uhrzeit</t>
  </si>
  <si>
    <t>Platz</t>
  </si>
  <si>
    <t>Tag 1</t>
  </si>
  <si>
    <t>:</t>
  </si>
  <si>
    <r>
      <t xml:space="preserve">SPIELPLAN - Achtelfinale &amp; Endrunde //  </t>
    </r>
    <r>
      <rPr>
        <b/>
        <sz val="10"/>
        <color rgb="FFFFFFFF"/>
        <rFont val="Sparkasse Head"/>
        <family val="2"/>
      </rPr>
      <t>(Platz 1 - 16) (4 Spiele je Team)</t>
    </r>
  </si>
  <si>
    <t>Spielzeit: 1x15min    +    5 min Wechselzeit zw. den Spielen
Finale: Spielzeit 2x10min (5min Pause)</t>
  </si>
  <si>
    <t>15 min für 8-m eingeplant</t>
  </si>
  <si>
    <t>15:40</t>
  </si>
  <si>
    <t>16:20</t>
  </si>
  <si>
    <t>16:40</t>
  </si>
  <si>
    <t>17:00</t>
  </si>
  <si>
    <t>Entscheidungsspiele Platz 9 - 16</t>
  </si>
  <si>
    <t>10 min für 8-m eingeplant</t>
  </si>
  <si>
    <t>Tag 2</t>
  </si>
  <si>
    <t>10:00</t>
  </si>
  <si>
    <t>10:20</t>
  </si>
  <si>
    <t>10:40</t>
  </si>
  <si>
    <t>Entscheidungsspiele Platz 13 - 16</t>
  </si>
  <si>
    <t>5 min für 8-m eingeplant</t>
  </si>
  <si>
    <t>11:00</t>
  </si>
  <si>
    <t>Platz 15 und 16</t>
  </si>
  <si>
    <t>11:20</t>
  </si>
  <si>
    <t>Platz 13 und 14</t>
  </si>
  <si>
    <t>11:40</t>
  </si>
  <si>
    <t>Entscheidungsspiele Platz 9 - 12</t>
  </si>
  <si>
    <t>Platz 11 und 12</t>
  </si>
  <si>
    <t>12:00</t>
  </si>
  <si>
    <t>Platz 9 und 10</t>
  </si>
  <si>
    <t>12:20</t>
  </si>
  <si>
    <t>12:40</t>
  </si>
  <si>
    <t>13:00</t>
  </si>
  <si>
    <t>13:20</t>
  </si>
  <si>
    <t>Entscheidungsspiele Platz 5 - 8</t>
  </si>
  <si>
    <t>13:40</t>
  </si>
  <si>
    <t>Platz 7 und 8</t>
  </si>
  <si>
    <t>14:20</t>
  </si>
  <si>
    <t>Platz 5 und 6</t>
  </si>
  <si>
    <t>15:00</t>
  </si>
  <si>
    <t>Platz 3 und 4</t>
  </si>
  <si>
    <t>15:20</t>
  </si>
  <si>
    <t>15:45</t>
  </si>
  <si>
    <r>
      <t xml:space="preserve">SPIELPLAN - Achtelfinale &amp; Trostrunde // </t>
    </r>
    <r>
      <rPr>
        <b/>
        <sz val="10"/>
        <color rgb="FFFFFFFF"/>
        <rFont val="Sparkasse Head"/>
        <family val="2"/>
      </rPr>
      <t>(Platz 17 - 32) (4 Spiele je Team)</t>
    </r>
  </si>
  <si>
    <t>16:00</t>
  </si>
  <si>
    <t>Entscheidungsspiele Platz 25 - 32</t>
  </si>
  <si>
    <t>Entscheidungsspiele Platz 29 - 32</t>
  </si>
  <si>
    <t>Platz 31 und 32</t>
  </si>
  <si>
    <t>Platz 29 und 30</t>
  </si>
  <si>
    <t>Entscheidungsspiele Platz 25 - 28</t>
  </si>
  <si>
    <t>Platz 27 und 28</t>
  </si>
  <si>
    <t>Platz 25 und 26</t>
  </si>
  <si>
    <t>Viertelfinale Trostrunde</t>
  </si>
  <si>
    <t>Entscheidungsspiele Platz 17 - 24</t>
  </si>
  <si>
    <t>14:00</t>
  </si>
  <si>
    <t>Platz 23 und 24</t>
  </si>
  <si>
    <t>Platz 21 und 22</t>
  </si>
  <si>
    <t>Halbfinale Trostrunde</t>
  </si>
  <si>
    <t>14:40</t>
  </si>
  <si>
    <t>Platz 19 und 20</t>
  </si>
  <si>
    <t xml:space="preserve">Finale Trostrunde Platz 17 und 18 </t>
  </si>
  <si>
    <t>Gewinner Trostrunde</t>
  </si>
  <si>
    <t>Spielergebnisse</t>
  </si>
  <si>
    <t>Tore</t>
  </si>
  <si>
    <t>Punkte</t>
  </si>
  <si>
    <t>Tabelle mit Ausgangsreihenfolge der Gruppen</t>
  </si>
  <si>
    <t>Tabelle der Endergebnisse</t>
  </si>
  <si>
    <t>Punkteverteilung Szenario 2 und 4</t>
  </si>
  <si>
    <t>Szenario 3</t>
  </si>
  <si>
    <t>Platzierung in den Gruppen</t>
  </si>
  <si>
    <t>Tordifferenzen</t>
  </si>
  <si>
    <t>Erzielte Tore</t>
  </si>
  <si>
    <t>Punkte bei Gleichstand</t>
  </si>
  <si>
    <t>Gesamtpunktzahl: 10000*Pkt.+100*TD+ET</t>
  </si>
  <si>
    <t>Teams mit gleicher Punktzahl</t>
  </si>
  <si>
    <t>direkter Gegner bei Punktegleichstand</t>
  </si>
  <si>
    <t>Punkte gegen direkten Gegner</t>
  </si>
  <si>
    <t>Team ohne Punktegleichstand</t>
  </si>
  <si>
    <t>gegen Teams mit Punktegleichstand</t>
  </si>
  <si>
    <t>Gesamtpunktzahl</t>
  </si>
  <si>
    <t>Teams sortieren</t>
  </si>
  <si>
    <t>Platzierung</t>
  </si>
  <si>
    <t>Eindeutig oder durch Los entscheiden?</t>
  </si>
  <si>
    <t>Alle Spiele vollständig?</t>
  </si>
  <si>
    <t>Gleichstand liegt vor</t>
  </si>
  <si>
    <t>Nation</t>
  </si>
  <si>
    <t>Verein</t>
  </si>
  <si>
    <t>A</t>
  </si>
  <si>
    <t>GRUPPE A</t>
  </si>
  <si>
    <t>Österreich</t>
  </si>
  <si>
    <t>TSV 1946 Bayerbach/Österreich</t>
  </si>
  <si>
    <t>Australien</t>
  </si>
  <si>
    <t>TSV Langquaid/Australien</t>
  </si>
  <si>
    <t>Saudi-Arabien</t>
  </si>
  <si>
    <t>FC Bonbruck/Bodenkirchen/Saudi-Arabien</t>
  </si>
  <si>
    <t>Senegal</t>
  </si>
  <si>
    <t>SG Weihmichl/Neuhausen/Senegal</t>
  </si>
  <si>
    <t>B</t>
  </si>
  <si>
    <t>GRUPPE B</t>
  </si>
  <si>
    <t>Algerien</t>
  </si>
  <si>
    <t>TSV Kirchberg/Algerien</t>
  </si>
  <si>
    <t>Schottland</t>
  </si>
  <si>
    <t>TSV Rottenburg/Schottland</t>
  </si>
  <si>
    <t>Südafrika</t>
  </si>
  <si>
    <t>SV Gündlkofen/Südafrika</t>
  </si>
  <si>
    <t>Spanien</t>
  </si>
  <si>
    <t>TSV Pfaffenberg/Spanien</t>
  </si>
  <si>
    <t>C</t>
  </si>
  <si>
    <t>GRUPPE C</t>
  </si>
  <si>
    <t>Kroatien</t>
  </si>
  <si>
    <t>SC Buch am Erlbach/Kroatien</t>
  </si>
  <si>
    <t>Norwegen</t>
  </si>
  <si>
    <t>TSV Vilslern/Norwegen</t>
  </si>
  <si>
    <t>Portugal</t>
  </si>
  <si>
    <t>SG Aham/Gerzen/Portugal</t>
  </si>
  <si>
    <t>Japan</t>
  </si>
  <si>
    <t>SC Pfettrach/Japan</t>
  </si>
  <si>
    <t>D</t>
  </si>
  <si>
    <t>GRUPPE D</t>
  </si>
  <si>
    <t>Südkorea</t>
  </si>
  <si>
    <t>TSV Rohr/Südkorea</t>
  </si>
  <si>
    <t>Mexiko</t>
  </si>
  <si>
    <t>TSV Vilsbiburg/Mexiko</t>
  </si>
  <si>
    <t>Elfenbeinküste</t>
  </si>
  <si>
    <t>SSV 1983 Weng/Elfenbeinküste</t>
  </si>
  <si>
    <t>Niederlande</t>
  </si>
  <si>
    <t>SG Mallersdorf/Grafentraubach/Niederlande</t>
  </si>
  <si>
    <t>E</t>
  </si>
  <si>
    <t>GRUPPE E</t>
  </si>
  <si>
    <t>Frankreich</t>
  </si>
  <si>
    <t>SV Wörth/Frankreich</t>
  </si>
  <si>
    <t>Marokko</t>
  </si>
  <si>
    <t>SV Kumhausen/Marokko</t>
  </si>
  <si>
    <t>Kanada</t>
  </si>
  <si>
    <t>SpVgg Landshut/Kanada</t>
  </si>
  <si>
    <t>Belgien</t>
  </si>
  <si>
    <t>ETSV 09 Landshut/Belgien</t>
  </si>
  <si>
    <t>F</t>
  </si>
  <si>
    <t>GRUPPE F</t>
  </si>
  <si>
    <t>England</t>
  </si>
  <si>
    <t>TSV Baierbach/England</t>
  </si>
  <si>
    <t>Curacao</t>
  </si>
  <si>
    <t>TSV Altfraunhofen/Curacao</t>
  </si>
  <si>
    <t>Argentinien</t>
  </si>
  <si>
    <t>TSV Landshut-Auloh/Argentinien</t>
  </si>
  <si>
    <t>Schweiz</t>
  </si>
  <si>
    <t>SV Sallach/Schweiz</t>
  </si>
  <si>
    <t>G</t>
  </si>
  <si>
    <t>GRUPPE G</t>
  </si>
  <si>
    <t>Katar</t>
  </si>
  <si>
    <t>DJK SV Furth/Katar</t>
  </si>
  <si>
    <t>Uruguay</t>
  </si>
  <si>
    <t>DJK-SV Altdorf/Uruguay</t>
  </si>
  <si>
    <t>Neuseeland</t>
  </si>
  <si>
    <t>TSV Ergoldsbach/Neuseeland</t>
  </si>
  <si>
    <t>Brasilien</t>
  </si>
  <si>
    <t>FC Ergolding/Brasilien</t>
  </si>
  <si>
    <t>H</t>
  </si>
  <si>
    <t>GRUPPE H</t>
  </si>
  <si>
    <t>Kolumbien</t>
  </si>
  <si>
    <t>SV Oberglaim/Kolumbien</t>
  </si>
  <si>
    <t>Deutschland</t>
  </si>
  <si>
    <t>SSV Pfeffenhausen/Deutschland</t>
  </si>
  <si>
    <t>Ghana</t>
  </si>
  <si>
    <t>SV Münchnerau/Ghana</t>
  </si>
  <si>
    <t>USA</t>
  </si>
  <si>
    <t>VfR Laberweinting/USA</t>
  </si>
  <si>
    <t>Sp.</t>
  </si>
  <si>
    <t>Spiele</t>
  </si>
  <si>
    <t>Pkte.</t>
  </si>
  <si>
    <t>T</t>
  </si>
  <si>
    <t>GT</t>
  </si>
  <si>
    <t>Gegentore</t>
  </si>
  <si>
    <t>Diff.</t>
  </si>
  <si>
    <t>Tordifferenz</t>
  </si>
  <si>
    <t>Eindeutige Platzierung</t>
  </si>
  <si>
    <t>zwei Teams auf Platz 3</t>
  </si>
  <si>
    <t>Auswahl durch Losverfahren</t>
  </si>
  <si>
    <t>Losverfahren wegen Gleichstand. Geben Sie die errechneten Platzierungen (rot) in der richtigen Reihenfolge ein.</t>
  </si>
  <si>
    <t>FUSSBALL WM 2014 - Spielplan</t>
  </si>
  <si>
    <t>VORRUNDE</t>
  </si>
  <si>
    <t>ENDRUNDE</t>
  </si>
  <si>
    <t>ACHTELFINALE</t>
  </si>
  <si>
    <t>VIERTELFINALE</t>
  </si>
  <si>
    <t>HALBFINALE</t>
  </si>
  <si>
    <t>SPIEL UM PLATZ 3</t>
  </si>
  <si>
    <t>FINALE</t>
  </si>
  <si>
    <t>Meister der Sparkassen Mini-WM 2026</t>
  </si>
  <si>
    <t>Sieger</t>
  </si>
  <si>
    <t>Zweiter</t>
  </si>
  <si>
    <t>Gruppe</t>
  </si>
  <si>
    <t>Spiel</t>
  </si>
  <si>
    <t>Datum</t>
  </si>
  <si>
    <t>Austragungsort</t>
  </si>
  <si>
    <t>Dritter</t>
  </si>
  <si>
    <t>Vierter</t>
  </si>
  <si>
    <t>Vorrunde Tag 1</t>
  </si>
  <si>
    <t>Zeit</t>
  </si>
  <si>
    <t>Anzahl Spiele</t>
  </si>
  <si>
    <t>max. Spielminuten bei
Spielzeit 15 min</t>
  </si>
  <si>
    <t>64 Spiele:</t>
  </si>
  <si>
    <t>von 10 uhr bis Ende letztes Spiel 17:20</t>
  </si>
  <si>
    <t>15 + 5</t>
  </si>
  <si>
    <t>Tag1</t>
  </si>
  <si>
    <t>60 min</t>
  </si>
  <si>
    <t>Spielzeit 15 min (Trost- und Endrunde)
(ohne Zeit für 8m-Schießen)</t>
  </si>
  <si>
    <t>Tag2</t>
  </si>
  <si>
    <t>45 min  (Mannschaften im Endspiel: 50 min)</t>
  </si>
  <si>
    <t>Trost/Endrunde Tag 2</t>
  </si>
  <si>
    <t>48 Spiele:</t>
  </si>
  <si>
    <t>von 10 uhr bis Ende letztes Spiel 16:10</t>
  </si>
  <si>
    <t>Endspiel 2x10min (5min Pause)</t>
  </si>
  <si>
    <t>je 8m-Schießen Tag 2</t>
  </si>
  <si>
    <t>ca. 5 min</t>
  </si>
  <si>
    <t>Annahme bei 64 Spielen: 20 x 8m-Schießen je 5min = 1h 40 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</si>
</sst>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m/d;@"/>
    <numFmt numFmtId="166" formatCode="d\.m\.;@"/>
  </numFmts>
  <fonts count="20">
    <font>
      <sz val="10"/>
      <name val="Arial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b/>
      <sz val="8"/>
      <color indexed="9"/>
      <name val="Tahoma"/>
      <family val="2"/>
    </font>
    <font>
      <b/>
      <sz val="14"/>
      <color indexed="9"/>
      <name val="Tahoma"/>
      <family val="2"/>
    </font>
    <font>
      <sz val="8"/>
      <color indexed="42"/>
      <name val="Tahoma"/>
      <family val="2"/>
    </font>
    <font>
      <sz val="14"/>
      <name val="Tahoma"/>
      <family val="2"/>
    </font>
    <font>
      <sz val="8"/>
      <color indexed="10"/>
      <name val="Tahoma"/>
      <family val="2"/>
    </font>
    <font>
      <sz val="8"/>
      <name val="Verdana"/>
      <family val="2"/>
    </font>
    <font>
      <b/>
      <sz val="10"/>
      <name val="Arial"/>
      <family val="2"/>
    </font>
    <font>
      <i/>
      <sz val="8"/>
      <name val="Tahoma"/>
      <family val="2"/>
    </font>
    <font>
      <i/>
      <sz val="14"/>
      <name val="Tahoma"/>
      <family val="2"/>
    </font>
    <font>
      <i/>
      <sz val="10"/>
      <name val="Tahoma"/>
      <family val="2"/>
    </font>
    <font>
      <b/>
      <sz val="22"/>
      <color rgb="FFFF0000"/>
      <name val="Sparkasse Head"/>
      <family val="2"/>
    </font>
    <font>
      <b/>
      <sz val="12"/>
      <name val="Sparkasse Head"/>
      <family val="2"/>
    </font>
    <font>
      <b/>
      <sz val="9"/>
      <color indexed="9"/>
      <name val="Sparkasse Head"/>
      <family val="2"/>
    </font>
    <font>
      <b/>
      <sz val="16"/>
      <color indexed="9"/>
      <name val="Sparkasse Head"/>
      <family val="2"/>
    </font>
    <font>
      <b/>
      <sz val="10"/>
      <color rgb="FFFFFFFF"/>
      <name val="Sparkasse Head"/>
      <family val="2"/>
    </font>
    <font>
      <b/>
      <sz val="10"/>
      <color indexed="9"/>
      <name val="Sparkasse Head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 diagonalDown="1">
      <left/>
      <right/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52"/>
      </right>
      <top/>
      <bottom/>
      <diagonal/>
    </border>
    <border>
      <left/>
      <right/>
      <top style="medium">
        <color indexed="9"/>
      </top>
      <bottom/>
      <diagonal/>
    </border>
    <border>
      <left/>
      <right style="thin">
        <color indexed="9"/>
      </right>
      <top style="medium">
        <color indexed="9"/>
      </top>
      <bottom/>
      <diagonal/>
    </border>
    <border>
      <left/>
      <right/>
      <top style="thin">
        <color indexed="5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52"/>
      </bottom>
      <diagonal/>
    </border>
    <border>
      <left/>
      <right/>
      <top style="thin">
        <color indexed="64"/>
      </top>
      <bottom style="thin">
        <color indexed="52"/>
      </bottom>
      <diagonal/>
    </border>
    <border>
      <left/>
      <right style="thin">
        <color indexed="64"/>
      </right>
      <top style="thin">
        <color indexed="64"/>
      </top>
      <bottom style="thin">
        <color indexed="52"/>
      </bottom>
      <diagonal/>
    </border>
    <border>
      <left style="thin">
        <color indexed="64"/>
      </left>
      <right/>
      <top style="thin">
        <color indexed="52"/>
      </top>
      <bottom/>
      <diagonal/>
    </border>
    <border>
      <left/>
      <right style="thin">
        <color indexed="64"/>
      </right>
      <top style="thin">
        <color indexed="52"/>
      </top>
      <bottom/>
      <diagonal/>
    </border>
    <border>
      <left/>
      <right/>
      <top style="medium">
        <color indexed="9"/>
      </top>
      <bottom style="medium">
        <color indexed="9"/>
      </bottom>
      <diagonal/>
    </border>
  </borders>
  <cellStyleXfs count="1">
    <xf numFmtId="0" fontId="0" fillId="2" borderId="0"/>
  </cellStyleXfs>
  <cellXfs count="179">
    <xf numFmtId="0" fontId="0" fillId="2" borderId="0" xfId="0"/>
    <xf numFmtId="0" fontId="1" fillId="2" borderId="0" xfId="0" applyFont="1"/>
    <xf numFmtId="0" fontId="1" fillId="0" borderId="0" xfId="0" applyFont="1" applyFill="1"/>
    <xf numFmtId="0" fontId="1" fillId="2" borderId="0" xfId="0" applyFont="1" applyAlignment="1">
      <alignment horizontal="center"/>
    </xf>
    <xf numFmtId="0" fontId="1" fillId="2" borderId="0" xfId="0" applyFont="1" applyAlignment="1">
      <alignment horizontal="right"/>
    </xf>
    <xf numFmtId="0" fontId="1" fillId="2" borderId="0" xfId="0" applyFont="1" applyAlignment="1">
      <alignment horizontal="left"/>
    </xf>
    <xf numFmtId="0" fontId="1" fillId="3" borderId="0" xfId="0" applyFont="1" applyFill="1"/>
    <xf numFmtId="0" fontId="2" fillId="2" borderId="0" xfId="0" applyFont="1"/>
    <xf numFmtId="0" fontId="2" fillId="2" borderId="0" xfId="0" applyFont="1" applyAlignment="1">
      <alignment horizontal="center"/>
    </xf>
    <xf numFmtId="0" fontId="2" fillId="2" borderId="0" xfId="0" applyFont="1" applyAlignment="1">
      <alignment horizontal="right"/>
    </xf>
    <xf numFmtId="0" fontId="2" fillId="2" borderId="0" xfId="0" applyFont="1" applyAlignment="1">
      <alignment horizontal="left"/>
    </xf>
    <xf numFmtId="0" fontId="1" fillId="2" borderId="0" xfId="0" applyFont="1" applyAlignment="1">
      <alignment vertical="center"/>
    </xf>
    <xf numFmtId="0" fontId="1" fillId="2" borderId="0" xfId="0" applyFont="1" applyAlignment="1">
      <alignment horizontal="right" vertical="center"/>
    </xf>
    <xf numFmtId="0" fontId="1" fillId="2" borderId="0" xfId="0" applyFont="1" applyAlignment="1">
      <alignment horizontal="center" vertical="center"/>
    </xf>
    <xf numFmtId="0" fontId="6" fillId="2" borderId="0" xfId="0" applyFont="1" applyAlignment="1">
      <alignment horizontal="center" vertical="center"/>
    </xf>
    <xf numFmtId="0" fontId="1" fillId="2" borderId="0" xfId="0" applyFont="1" applyAlignment="1">
      <alignment horizontal="left" vertical="center"/>
    </xf>
    <xf numFmtId="0" fontId="3" fillId="2" borderId="0" xfId="0" applyFont="1" applyAlignment="1">
      <alignment vertical="center"/>
    </xf>
    <xf numFmtId="0" fontId="3" fillId="2" borderId="0" xfId="0" applyFont="1" applyAlignment="1">
      <alignment horizontal="center" vertical="center"/>
    </xf>
    <xf numFmtId="0" fontId="3" fillId="2" borderId="0" xfId="0" applyFont="1" applyAlignment="1">
      <alignment horizontal="right" vertical="center"/>
    </xf>
    <xf numFmtId="0" fontId="3" fillId="2" borderId="0" xfId="0" applyFont="1" applyAlignment="1">
      <alignment horizontal="left" vertical="center"/>
    </xf>
    <xf numFmtId="0" fontId="7" fillId="2" borderId="0" xfId="0" applyFont="1" applyAlignment="1">
      <alignment vertical="center"/>
    </xf>
    <xf numFmtId="0" fontId="2" fillId="2" borderId="0" xfId="0" applyFont="1" applyAlignment="1">
      <alignment vertical="center"/>
    </xf>
    <xf numFmtId="0" fontId="1" fillId="2" borderId="0" xfId="0" applyFont="1" applyAlignment="1">
      <alignment horizontal="right" vertical="center" indent="1"/>
    </xf>
    <xf numFmtId="165" fontId="1" fillId="2" borderId="0" xfId="0" applyNumberFormat="1" applyFont="1" applyAlignment="1">
      <alignment horizontal="left" vertical="center"/>
    </xf>
    <xf numFmtId="0" fontId="1" fillId="2" borderId="0" xfId="0" applyFont="1" applyAlignment="1">
      <alignment horizontal="left" vertical="center" indent="1"/>
    </xf>
    <xf numFmtId="0" fontId="1" fillId="2" borderId="1" xfId="0" applyFont="1" applyBorder="1" applyAlignment="1">
      <alignment horizontal="center" vertical="center"/>
    </xf>
    <xf numFmtId="0" fontId="1" fillId="2" borderId="2" xfId="0" applyFont="1" applyBorder="1" applyAlignment="1">
      <alignment vertical="center"/>
    </xf>
    <xf numFmtId="0" fontId="1" fillId="2" borderId="3" xfId="0" applyFont="1" applyBorder="1" applyAlignment="1">
      <alignment vertical="center"/>
    </xf>
    <xf numFmtId="0" fontId="1" fillId="2" borderId="3" xfId="0" applyFont="1" applyBorder="1" applyAlignment="1">
      <alignment horizontal="center" vertical="center"/>
    </xf>
    <xf numFmtId="0" fontId="1" fillId="2" borderId="4" xfId="0" applyFont="1" applyBorder="1" applyAlignment="1">
      <alignment vertical="center"/>
    </xf>
    <xf numFmtId="0" fontId="1" fillId="2" borderId="4" xfId="0" applyFont="1" applyBorder="1" applyAlignment="1">
      <alignment horizontal="center" vertical="center"/>
    </xf>
    <xf numFmtId="0" fontId="1" fillId="2" borderId="5" xfId="0" applyFont="1" applyBorder="1" applyAlignment="1">
      <alignment horizontal="right" vertical="center"/>
    </xf>
    <xf numFmtId="0" fontId="1" fillId="2" borderId="6" xfId="0" applyFont="1" applyBorder="1" applyAlignment="1">
      <alignment horizontal="right" vertical="center"/>
    </xf>
    <xf numFmtId="0" fontId="1" fillId="2" borderId="7" xfId="0" applyFont="1" applyBorder="1" applyAlignment="1">
      <alignment horizontal="right" vertical="center"/>
    </xf>
    <xf numFmtId="0" fontId="1" fillId="2" borderId="8" xfId="0" applyFont="1" applyBorder="1" applyAlignment="1">
      <alignment horizontal="left" vertical="center"/>
    </xf>
    <xf numFmtId="0" fontId="1" fillId="2" borderId="9" xfId="0" applyFont="1" applyBorder="1" applyAlignment="1">
      <alignment horizontal="left" vertical="center"/>
    </xf>
    <xf numFmtId="0" fontId="1" fillId="2" borderId="10" xfId="0" applyFont="1" applyBorder="1" applyAlignment="1">
      <alignment horizontal="left" vertical="center"/>
    </xf>
    <xf numFmtId="0" fontId="1" fillId="2" borderId="11" xfId="0" applyFont="1" applyBorder="1" applyAlignment="1">
      <alignment horizontal="center" vertical="center"/>
    </xf>
    <xf numFmtId="0" fontId="1" fillId="4" borderId="2" xfId="0" applyFont="1" applyFill="1" applyBorder="1" applyAlignment="1" applyProtection="1">
      <alignment horizontal="center" vertical="center"/>
      <protection locked="0" hidden="1"/>
    </xf>
    <xf numFmtId="0" fontId="1" fillId="4" borderId="12" xfId="0" applyFont="1" applyFill="1" applyBorder="1" applyAlignment="1" applyProtection="1">
      <alignment horizontal="center" vertical="center"/>
      <protection locked="0" hidden="1"/>
    </xf>
    <xf numFmtId="0" fontId="2" fillId="2" borderId="14" xfId="0" applyFont="1" applyBorder="1" applyAlignment="1">
      <alignment horizontal="center"/>
    </xf>
    <xf numFmtId="0" fontId="2" fillId="2" borderId="13" xfId="0" applyFont="1" applyBorder="1"/>
    <xf numFmtId="0" fontId="1" fillId="2" borderId="15" xfId="0" applyFont="1" applyBorder="1" applyAlignment="1">
      <alignment horizontal="center"/>
    </xf>
    <xf numFmtId="0" fontId="1" fillId="2" borderId="0" xfId="0" applyFont="1" applyAlignment="1">
      <alignment wrapText="1"/>
    </xf>
    <xf numFmtId="0" fontId="1" fillId="2" borderId="13" xfId="0" applyFont="1" applyBorder="1"/>
    <xf numFmtId="0" fontId="1" fillId="2" borderId="14" xfId="0" applyFont="1" applyBorder="1" applyAlignment="1">
      <alignment horizontal="center"/>
    </xf>
    <xf numFmtId="0" fontId="1" fillId="2" borderId="13" xfId="0" applyFont="1" applyBorder="1" applyAlignment="1">
      <alignment wrapText="1"/>
    </xf>
    <xf numFmtId="0" fontId="1" fillId="2" borderId="16" xfId="0" applyFont="1" applyBorder="1" applyAlignment="1">
      <alignment horizontal="center"/>
    </xf>
    <xf numFmtId="0" fontId="1" fillId="2" borderId="16" xfId="0" applyFont="1" applyBorder="1" applyAlignment="1">
      <alignment wrapText="1"/>
    </xf>
    <xf numFmtId="0" fontId="1" fillId="2" borderId="17" xfId="0" applyFont="1" applyBorder="1" applyAlignment="1">
      <alignment horizontal="right"/>
    </xf>
    <xf numFmtId="0" fontId="1" fillId="2" borderId="18" xfId="0" applyFont="1" applyBorder="1" applyAlignment="1">
      <alignment horizontal="center"/>
    </xf>
    <xf numFmtId="0" fontId="1" fillId="2" borderId="19" xfId="0" applyFont="1" applyBorder="1" applyAlignment="1">
      <alignment horizontal="left"/>
    </xf>
    <xf numFmtId="0" fontId="1" fillId="2" borderId="15" xfId="0" applyFont="1" applyBorder="1" applyAlignment="1">
      <alignment horizontal="center" textRotation="90"/>
    </xf>
    <xf numFmtId="0" fontId="1" fillId="2" borderId="0" xfId="0" applyFont="1" applyAlignment="1">
      <alignment horizontal="center" textRotation="90"/>
    </xf>
    <xf numFmtId="0" fontId="2" fillId="2" borderId="20" xfId="0" applyFont="1" applyBorder="1" applyAlignment="1">
      <alignment horizontal="right"/>
    </xf>
    <xf numFmtId="0" fontId="1" fillId="2" borderId="21" xfId="0" applyFont="1" applyBorder="1" applyAlignment="1">
      <alignment horizontal="center" textRotation="90"/>
    </xf>
    <xf numFmtId="0" fontId="1" fillId="2" borderId="22" xfId="0" applyFont="1" applyBorder="1" applyAlignment="1">
      <alignment horizontal="center" textRotation="90"/>
    </xf>
    <xf numFmtId="0" fontId="1" fillId="2" borderId="23" xfId="0" applyFont="1" applyBorder="1" applyAlignment="1">
      <alignment horizontal="center" textRotation="90"/>
    </xf>
    <xf numFmtId="0" fontId="1" fillId="2" borderId="21" xfId="0" applyFont="1" applyBorder="1" applyAlignment="1">
      <alignment horizontal="center"/>
    </xf>
    <xf numFmtId="0" fontId="1" fillId="2" borderId="22" xfId="0" applyFont="1" applyBorder="1" applyAlignment="1">
      <alignment horizontal="center"/>
    </xf>
    <xf numFmtId="0" fontId="1" fillId="2" borderId="23" xfId="0" applyFont="1" applyBorder="1" applyAlignment="1">
      <alignment horizontal="center"/>
    </xf>
    <xf numFmtId="0" fontId="1" fillId="2" borderId="20" xfId="0" applyFont="1" applyBorder="1"/>
    <xf numFmtId="0" fontId="1" fillId="2" borderId="24" xfId="0" applyFont="1" applyBorder="1" applyAlignment="1">
      <alignment horizontal="right"/>
    </xf>
    <xf numFmtId="0" fontId="1" fillId="2" borderId="25" xfId="0" applyFont="1" applyBorder="1" applyAlignment="1">
      <alignment horizontal="left"/>
    </xf>
    <xf numFmtId="0" fontId="1" fillId="2" borderId="26" xfId="0" applyFont="1" applyBorder="1" applyAlignment="1">
      <alignment horizontal="left"/>
    </xf>
    <xf numFmtId="0" fontId="1" fillId="2" borderId="27" xfId="0" applyFont="1" applyBorder="1"/>
    <xf numFmtId="0" fontId="1" fillId="2" borderId="18" xfId="0" applyFont="1" applyBorder="1"/>
    <xf numFmtId="0" fontId="1" fillId="2" borderId="19" xfId="0" applyFont="1" applyBorder="1"/>
    <xf numFmtId="0" fontId="1" fillId="2" borderId="26" xfId="0" applyFont="1" applyBorder="1"/>
    <xf numFmtId="0" fontId="1" fillId="2" borderId="17" xfId="0" applyFont="1" applyBorder="1"/>
    <xf numFmtId="0" fontId="2" fillId="2" borderId="26" xfId="0" applyFont="1" applyBorder="1" applyAlignment="1">
      <alignment horizontal="center"/>
    </xf>
    <xf numFmtId="164" fontId="1" fillId="2" borderId="26" xfId="0" applyNumberFormat="1" applyFont="1" applyBorder="1"/>
    <xf numFmtId="0" fontId="1" fillId="2" borderId="28" xfId="0" applyFont="1" applyBorder="1" applyAlignment="1">
      <alignment horizontal="left"/>
    </xf>
    <xf numFmtId="0" fontId="1" fillId="2" borderId="24" xfId="0" applyFont="1" applyBorder="1"/>
    <xf numFmtId="0" fontId="1" fillId="2" borderId="29" xfId="0" applyFont="1" applyBorder="1"/>
    <xf numFmtId="0" fontId="1" fillId="2" borderId="25" xfId="0" applyFont="1" applyBorder="1"/>
    <xf numFmtId="0" fontId="1" fillId="2" borderId="28" xfId="0" applyFont="1" applyBorder="1"/>
    <xf numFmtId="0" fontId="2" fillId="2" borderId="28" xfId="0" applyFont="1" applyBorder="1" applyAlignment="1">
      <alignment horizontal="center"/>
    </xf>
    <xf numFmtId="164" fontId="1" fillId="2" borderId="28" xfId="0" applyNumberFormat="1" applyFont="1" applyBorder="1"/>
    <xf numFmtId="0" fontId="1" fillId="2" borderId="15" xfId="0" applyFont="1" applyBorder="1"/>
    <xf numFmtId="0" fontId="1" fillId="2" borderId="30" xfId="0" applyFont="1" applyBorder="1" applyAlignment="1">
      <alignment horizontal="left"/>
    </xf>
    <xf numFmtId="0" fontId="1" fillId="2" borderId="31" xfId="0" applyFont="1" applyBorder="1"/>
    <xf numFmtId="0" fontId="1" fillId="2" borderId="32" xfId="0" applyFont="1" applyBorder="1"/>
    <xf numFmtId="0" fontId="1" fillId="2" borderId="33" xfId="0" applyFont="1" applyBorder="1"/>
    <xf numFmtId="0" fontId="1" fillId="2" borderId="30" xfId="0" applyFont="1" applyBorder="1"/>
    <xf numFmtId="0" fontId="1" fillId="2" borderId="34" xfId="0" applyFont="1" applyBorder="1"/>
    <xf numFmtId="0" fontId="2" fillId="2" borderId="30" xfId="0" applyFont="1" applyBorder="1" applyAlignment="1">
      <alignment horizontal="center"/>
    </xf>
    <xf numFmtId="164" fontId="1" fillId="2" borderId="30" xfId="0" applyNumberFormat="1" applyFont="1" applyBorder="1"/>
    <xf numFmtId="0" fontId="1" fillId="2" borderId="31" xfId="0" applyFont="1" applyBorder="1" applyAlignment="1">
      <alignment horizontal="right"/>
    </xf>
    <xf numFmtId="0" fontId="1" fillId="2" borderId="32" xfId="0" applyFont="1" applyBorder="1" applyAlignment="1">
      <alignment horizontal="center"/>
    </xf>
    <xf numFmtId="0" fontId="1" fillId="2" borderId="34" xfId="0" applyFont="1" applyBorder="1" applyAlignment="1">
      <alignment horizontal="left"/>
    </xf>
    <xf numFmtId="0" fontId="1" fillId="2" borderId="21" xfId="0" applyFont="1" applyBorder="1" applyAlignment="1">
      <alignment horizontal="right"/>
    </xf>
    <xf numFmtId="0" fontId="1" fillId="2" borderId="23" xfId="0" applyFont="1" applyBorder="1"/>
    <xf numFmtId="0" fontId="1" fillId="2" borderId="21" xfId="0" applyFont="1" applyBorder="1"/>
    <xf numFmtId="0" fontId="2" fillId="2" borderId="0" xfId="0" applyFont="1" applyAlignment="1">
      <alignment horizontal="center" vertical="center"/>
    </xf>
    <xf numFmtId="0" fontId="1" fillId="2" borderId="3" xfId="0" applyFont="1" applyBorder="1" applyAlignment="1" applyProtection="1">
      <alignment vertical="center"/>
      <protection locked="0"/>
    </xf>
    <xf numFmtId="0" fontId="1" fillId="2" borderId="4" xfId="0" applyFont="1" applyBorder="1" applyAlignment="1" applyProtection="1">
      <alignment vertical="center"/>
      <protection locked="0"/>
    </xf>
    <xf numFmtId="0" fontId="1" fillId="2" borderId="2" xfId="0" applyFont="1" applyBorder="1" applyAlignment="1" applyProtection="1">
      <alignment vertical="center"/>
      <protection locked="0"/>
    </xf>
    <xf numFmtId="0" fontId="2" fillId="2" borderId="13" xfId="0" applyFont="1" applyBorder="1" applyAlignment="1">
      <alignment horizontal="center" wrapText="1"/>
    </xf>
    <xf numFmtId="166" fontId="1" fillId="2" borderId="0" xfId="0" applyNumberFormat="1" applyFont="1" applyAlignment="1">
      <alignment horizontal="left"/>
    </xf>
    <xf numFmtId="166" fontId="2" fillId="2" borderId="0" xfId="0" applyNumberFormat="1" applyFont="1" applyAlignment="1">
      <alignment horizontal="left"/>
    </xf>
    <xf numFmtId="166" fontId="1" fillId="2" borderId="0" xfId="0" applyNumberFormat="1" applyFont="1" applyAlignment="1">
      <alignment horizontal="left" vertical="center"/>
    </xf>
    <xf numFmtId="166" fontId="1" fillId="2" borderId="0" xfId="0" applyNumberFormat="1" applyFont="1" applyAlignment="1">
      <alignment vertical="center"/>
    </xf>
    <xf numFmtId="166" fontId="2" fillId="2" borderId="0" xfId="0" applyNumberFormat="1" applyFont="1" applyAlignment="1">
      <alignment horizontal="left" vertical="center"/>
    </xf>
    <xf numFmtId="166" fontId="1" fillId="2" borderId="0" xfId="0" applyNumberFormat="1" applyFont="1"/>
    <xf numFmtId="49" fontId="1" fillId="2" borderId="0" xfId="0" applyNumberFormat="1" applyFont="1" applyAlignment="1">
      <alignment horizontal="left"/>
    </xf>
    <xf numFmtId="49" fontId="2" fillId="2" borderId="0" xfId="0" applyNumberFormat="1" applyFont="1" applyAlignment="1">
      <alignment horizontal="left"/>
    </xf>
    <xf numFmtId="49" fontId="1" fillId="2" borderId="0" xfId="0" applyNumberFormat="1" applyFont="1" applyAlignment="1">
      <alignment horizontal="left" vertical="center"/>
    </xf>
    <xf numFmtId="20" fontId="9" fillId="2" borderId="0" xfId="0" applyNumberFormat="1" applyFont="1" applyAlignment="1">
      <alignment horizontal="center" vertical="center"/>
    </xf>
    <xf numFmtId="0" fontId="9" fillId="2" borderId="0" xfId="0" applyFont="1" applyAlignment="1">
      <alignment horizontal="center" vertical="center"/>
    </xf>
    <xf numFmtId="0" fontId="0" fillId="0" borderId="0" xfId="0" applyFill="1"/>
    <xf numFmtId="0" fontId="1" fillId="4" borderId="0" xfId="0" applyFont="1" applyFill="1" applyAlignment="1" applyProtection="1">
      <alignment horizontal="center" vertical="center"/>
      <protection locked="0" hidden="1"/>
    </xf>
    <xf numFmtId="0" fontId="0" fillId="0" borderId="0" xfId="0" applyFill="1" applyAlignment="1">
      <alignment horizontal="center"/>
    </xf>
    <xf numFmtId="0" fontId="0" fillId="0" borderId="20" xfId="0" applyFill="1" applyBorder="1"/>
    <xf numFmtId="0" fontId="10" fillId="0" borderId="20" xfId="0" applyFont="1" applyFill="1" applyBorder="1" applyAlignment="1">
      <alignment horizontal="center"/>
    </xf>
    <xf numFmtId="49" fontId="2" fillId="2" borderId="0" xfId="0" applyNumberFormat="1" applyFont="1" applyAlignment="1">
      <alignment horizontal="center"/>
    </xf>
    <xf numFmtId="49" fontId="1" fillId="2" borderId="0" xfId="0" applyNumberFormat="1" applyFont="1" applyAlignment="1">
      <alignment horizontal="center" vertical="center"/>
    </xf>
    <xf numFmtId="49" fontId="1" fillId="2" borderId="0" xfId="0" applyNumberFormat="1" applyFont="1" applyAlignment="1">
      <alignment horizontal="center"/>
    </xf>
    <xf numFmtId="49" fontId="2" fillId="2" borderId="0" xfId="0" applyNumberFormat="1" applyFont="1" applyAlignment="1">
      <alignment horizontal="center" vertical="center"/>
    </xf>
    <xf numFmtId="0" fontId="0" fillId="3" borderId="20" xfId="0" applyFill="1" applyBorder="1" applyAlignment="1">
      <alignment horizontal="center"/>
    </xf>
    <xf numFmtId="0" fontId="0" fillId="3" borderId="20" xfId="0" applyFill="1" applyBorder="1" applyAlignment="1">
      <alignment wrapText="1"/>
    </xf>
    <xf numFmtId="0" fontId="0" fillId="3" borderId="20" xfId="0" applyFill="1" applyBorder="1"/>
    <xf numFmtId="0" fontId="10" fillId="3" borderId="20" xfId="0" applyFont="1" applyFill="1" applyBorder="1"/>
    <xf numFmtId="0" fontId="11" fillId="2" borderId="0" xfId="0" applyFont="1" applyAlignment="1">
      <alignment vertical="center"/>
    </xf>
    <xf numFmtId="0" fontId="13" fillId="2" borderId="0" xfId="0" applyFont="1" applyAlignment="1">
      <alignment vertical="center"/>
    </xf>
    <xf numFmtId="0" fontId="12" fillId="2" borderId="0" xfId="0" applyFont="1" applyAlignment="1">
      <alignment vertical="center"/>
    </xf>
    <xf numFmtId="0" fontId="11" fillId="2" borderId="0" xfId="0" applyFont="1"/>
    <xf numFmtId="0" fontId="1" fillId="6" borderId="0" xfId="0" applyFont="1" applyFill="1" applyAlignment="1">
      <alignment horizontal="center"/>
    </xf>
    <xf numFmtId="0" fontId="1" fillId="6" borderId="0" xfId="0" applyFont="1" applyFill="1"/>
    <xf numFmtId="166" fontId="1" fillId="6" borderId="0" xfId="0" applyNumberFormat="1" applyFont="1" applyFill="1"/>
    <xf numFmtId="49" fontId="1" fillId="6" borderId="0" xfId="0" applyNumberFormat="1" applyFont="1" applyFill="1"/>
    <xf numFmtId="0" fontId="1" fillId="6" borderId="0" xfId="0" applyFont="1" applyFill="1" applyAlignment="1">
      <alignment horizontal="left"/>
    </xf>
    <xf numFmtId="0" fontId="1" fillId="6" borderId="0" xfId="0" applyFont="1" applyFill="1" applyAlignment="1">
      <alignment horizontal="right"/>
    </xf>
    <xf numFmtId="0" fontId="1" fillId="2" borderId="3" xfId="0" applyFont="1" applyBorder="1" applyAlignment="1">
      <alignment horizontal="right" vertical="center"/>
    </xf>
    <xf numFmtId="0" fontId="15" fillId="6" borderId="0" xfId="0" applyFont="1" applyFill="1" applyAlignment="1">
      <alignment horizontal="left" vertical="top"/>
    </xf>
    <xf numFmtId="165" fontId="14" fillId="6" borderId="0" xfId="0" applyNumberFormat="1" applyFont="1" applyFill="1"/>
    <xf numFmtId="0" fontId="1" fillId="2" borderId="2" xfId="0" applyFont="1" applyBorder="1" applyAlignment="1">
      <alignment horizontal="center" vertical="center"/>
    </xf>
    <xf numFmtId="0" fontId="1" fillId="2" borderId="13" xfId="0" applyFont="1" applyBorder="1" applyAlignment="1">
      <alignment horizontal="center"/>
    </xf>
    <xf numFmtId="0" fontId="2" fillId="2" borderId="13" xfId="0" applyFont="1" applyBorder="1" applyAlignment="1">
      <alignment horizontal="center"/>
    </xf>
    <xf numFmtId="0" fontId="0" fillId="0" borderId="20" xfId="0" applyFill="1" applyBorder="1" applyAlignment="1">
      <alignment horizontal="center"/>
    </xf>
    <xf numFmtId="165" fontId="4" fillId="5" borderId="0" xfId="0" applyNumberFormat="1" applyFont="1" applyFill="1" applyAlignment="1">
      <alignment horizontal="center" vertical="center"/>
    </xf>
    <xf numFmtId="0" fontId="5" fillId="5" borderId="39" xfId="0" applyFont="1" applyFill="1" applyBorder="1" applyAlignment="1">
      <alignment horizontal="center" vertical="center"/>
    </xf>
    <xf numFmtId="0" fontId="5" fillId="5" borderId="40" xfId="0" applyFont="1" applyFill="1" applyBorder="1" applyAlignment="1">
      <alignment horizontal="center" vertical="center"/>
    </xf>
    <xf numFmtId="0" fontId="5" fillId="5" borderId="41" xfId="0" applyFont="1" applyFill="1" applyBorder="1" applyAlignment="1">
      <alignment horizontal="center" vertical="center"/>
    </xf>
    <xf numFmtId="0" fontId="5" fillId="5" borderId="42" xfId="0" applyFont="1" applyFill="1" applyBorder="1" applyAlignment="1">
      <alignment horizontal="center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43" xfId="0" applyFont="1" applyFill="1" applyBorder="1" applyAlignment="1">
      <alignment horizontal="center" vertical="center"/>
    </xf>
    <xf numFmtId="165" fontId="17" fillId="5" borderId="44" xfId="0" applyNumberFormat="1" applyFont="1" applyFill="1" applyBorder="1" applyAlignment="1">
      <alignment horizontal="center" vertical="center"/>
    </xf>
    <xf numFmtId="0" fontId="7" fillId="4" borderId="24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Alignment="1" applyProtection="1">
      <alignment horizontal="center" vertical="center"/>
      <protection hidden="1"/>
    </xf>
    <xf numFmtId="0" fontId="7" fillId="4" borderId="25" xfId="0" applyFont="1" applyFill="1" applyBorder="1" applyAlignment="1" applyProtection="1">
      <alignment horizontal="center" vertical="center"/>
      <protection hidden="1"/>
    </xf>
    <xf numFmtId="0" fontId="7" fillId="4" borderId="31" xfId="0" applyFont="1" applyFill="1" applyBorder="1" applyAlignment="1" applyProtection="1">
      <alignment horizontal="center" vertical="center"/>
      <protection hidden="1"/>
    </xf>
    <xf numFmtId="0" fontId="7" fillId="4" borderId="32" xfId="0" applyFont="1" applyFill="1" applyBorder="1" applyAlignment="1" applyProtection="1">
      <alignment horizontal="center" vertical="center"/>
      <protection hidden="1"/>
    </xf>
    <xf numFmtId="0" fontId="7" fillId="4" borderId="34" xfId="0" applyFont="1" applyFill="1" applyBorder="1" applyAlignment="1" applyProtection="1">
      <alignment horizontal="center" vertical="center"/>
      <protection hidden="1"/>
    </xf>
    <xf numFmtId="165" fontId="19" fillId="5" borderId="36" xfId="0" applyNumberFormat="1" applyFont="1" applyFill="1" applyBorder="1" applyAlignment="1">
      <alignment horizontal="center" vertical="center" wrapText="1"/>
    </xf>
    <xf numFmtId="165" fontId="19" fillId="5" borderId="36" xfId="0" applyNumberFormat="1" applyFont="1" applyFill="1" applyBorder="1" applyAlignment="1">
      <alignment horizontal="center" vertical="center"/>
    </xf>
    <xf numFmtId="165" fontId="16" fillId="5" borderId="36" xfId="0" applyNumberFormat="1" applyFont="1" applyFill="1" applyBorder="1" applyAlignment="1">
      <alignment horizontal="center" vertical="center"/>
    </xf>
    <xf numFmtId="165" fontId="16" fillId="5" borderId="37" xfId="0" applyNumberFormat="1" applyFont="1" applyFill="1" applyBorder="1" applyAlignment="1">
      <alignment horizontal="center" vertical="center"/>
    </xf>
    <xf numFmtId="165" fontId="14" fillId="0" borderId="0" xfId="0" applyNumberFormat="1" applyFont="1" applyFill="1"/>
    <xf numFmtId="165" fontId="17" fillId="5" borderId="36" xfId="0" applyNumberFormat="1" applyFont="1" applyFill="1" applyBorder="1" applyAlignment="1">
      <alignment horizontal="center" vertical="center"/>
    </xf>
    <xf numFmtId="165" fontId="17" fillId="5" borderId="37" xfId="0" applyNumberFormat="1" applyFont="1" applyFill="1" applyBorder="1" applyAlignment="1">
      <alignment horizontal="center" vertical="center"/>
    </xf>
    <xf numFmtId="0" fontId="8" fillId="2" borderId="11" xfId="0" applyFont="1" applyBorder="1" applyAlignment="1">
      <alignment vertical="top" wrapText="1"/>
    </xf>
    <xf numFmtId="0" fontId="8" fillId="2" borderId="0" xfId="0" applyFont="1" applyAlignment="1">
      <alignment vertical="top" wrapText="1"/>
    </xf>
    <xf numFmtId="0" fontId="1" fillId="2" borderId="2" xfId="0" applyFont="1" applyBorder="1" applyAlignment="1">
      <alignment horizontal="center" vertical="center"/>
    </xf>
    <xf numFmtId="165" fontId="4" fillId="5" borderId="35" xfId="0" applyNumberFormat="1" applyFont="1" applyFill="1" applyBorder="1" applyAlignment="1">
      <alignment horizontal="center" vertical="center"/>
    </xf>
    <xf numFmtId="0" fontId="1" fillId="2" borderId="0" xfId="0" applyFont="1" applyAlignment="1">
      <alignment horizontal="center"/>
    </xf>
    <xf numFmtId="0" fontId="1" fillId="2" borderId="0" xfId="0" applyFont="1" applyAlignment="1">
      <alignment horizontal="center" wrapText="1"/>
    </xf>
    <xf numFmtId="0" fontId="1" fillId="2" borderId="13" xfId="0" applyFont="1" applyBorder="1" applyAlignment="1">
      <alignment horizontal="center"/>
    </xf>
    <xf numFmtId="0" fontId="1" fillId="2" borderId="13" xfId="0" applyFont="1" applyBorder="1" applyAlignment="1">
      <alignment horizontal="center" wrapText="1"/>
    </xf>
    <xf numFmtId="0" fontId="2" fillId="2" borderId="13" xfId="0" applyFont="1" applyBorder="1" applyAlignment="1">
      <alignment horizontal="center"/>
    </xf>
    <xf numFmtId="0" fontId="2" fillId="2" borderId="13" xfId="0" applyFont="1" applyBorder="1" applyAlignment="1">
      <alignment horizontal="left" wrapText="1"/>
    </xf>
    <xf numFmtId="0" fontId="0" fillId="0" borderId="21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10" fillId="0" borderId="21" xfId="0" applyFont="1" applyFill="1" applyBorder="1" applyAlignment="1">
      <alignment horizontal="center"/>
    </xf>
    <xf numFmtId="0" fontId="10" fillId="0" borderId="22" xfId="0" applyFont="1" applyFill="1" applyBorder="1" applyAlignment="1">
      <alignment horizontal="center"/>
    </xf>
    <xf numFmtId="0" fontId="10" fillId="0" borderId="23" xfId="0" applyFont="1" applyFill="1" applyBorder="1" applyAlignment="1">
      <alignment horizontal="center"/>
    </xf>
    <xf numFmtId="0" fontId="0" fillId="3" borderId="20" xfId="0" applyFill="1" applyBorder="1" applyAlignment="1">
      <alignment horizontal="center" wrapText="1"/>
    </xf>
    <xf numFmtId="0" fontId="0" fillId="0" borderId="20" xfId="0" applyFill="1" applyBorder="1" applyAlignment="1">
      <alignment horizontal="center"/>
    </xf>
  </cellXfs>
  <cellStyles count="1">
    <cellStyle name="Standard" xfId="0" builtinId="0"/>
  </cellStyles>
  <dxfs count="5">
    <dxf>
      <font>
        <condense val="0"/>
        <extend val="0"/>
        <color indexed="63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FFFFF"/>
      <rgbColor rgb="00FFFF99"/>
      <rgbColor rgb="0099CCFF"/>
      <rgbColor rgb="00FF99CC"/>
      <rgbColor rgb="00CC99FF"/>
      <rgbColor rgb="00FFCC99"/>
      <rgbColor rgb="003366FF"/>
      <rgbColor rgb="0033CCCC"/>
      <rgbColor rgb="00647E42"/>
      <rgbColor rgb="00FFCC00"/>
      <rgbColor rgb="008FAF65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152400</xdr:colOff>
      <xdr:row>0</xdr:row>
      <xdr:rowOff>138272</xdr:rowOff>
    </xdr:from>
    <xdr:to>
      <xdr:col>12</xdr:col>
      <xdr:colOff>409575</xdr:colOff>
      <xdr:row>1</xdr:row>
      <xdr:rowOff>290544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EFD8E20-103D-4DCC-8613-B016963D5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0" y="138272"/>
          <a:ext cx="3248025" cy="10095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180975</xdr:colOff>
      <xdr:row>0</xdr:row>
      <xdr:rowOff>114300</xdr:rowOff>
    </xdr:from>
    <xdr:to>
      <xdr:col>8</xdr:col>
      <xdr:colOff>628650</xdr:colOff>
      <xdr:row>1</xdr:row>
      <xdr:rowOff>266572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DBEE179D-B82C-4A84-9F36-BB383FB17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0650" y="114300"/>
          <a:ext cx="3248025" cy="10095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400050</xdr:colOff>
      <xdr:row>0</xdr:row>
      <xdr:rowOff>133350</xdr:rowOff>
    </xdr:from>
    <xdr:to>
      <xdr:col>8</xdr:col>
      <xdr:colOff>847725</xdr:colOff>
      <xdr:row>1</xdr:row>
      <xdr:rowOff>285622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A4DEEA25-3265-4603-96C3-22A21C86F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9725" y="133350"/>
          <a:ext cx="3248025" cy="100952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19050</xdr:colOff>
      <xdr:row>1</xdr:row>
      <xdr:rowOff>0</xdr:rowOff>
    </xdr:from>
    <xdr:to>
      <xdr:col>34</xdr:col>
      <xdr:colOff>190500</xdr:colOff>
      <xdr:row>2</xdr:row>
      <xdr:rowOff>28575</xdr:rowOff>
    </xdr:to>
    <xdr:sp macro="" textlink="">
      <xdr:nvSpPr>
        <xdr:cNvPr id="2107" name="Text Box 59">
          <a:extLst>
            <a:ext uri="{FF2B5EF4-FFF2-40B4-BE49-F238E27FC236}">
              <a16:creationId xmlns:a16="http://schemas.microsoft.com/office/drawing/2014/main" id="{00000000-0008-0000-0300-00003B080000}"/>
            </a:ext>
          </a:extLst>
        </xdr:cNvPr>
        <xdr:cNvSpPr txBox="1">
          <a:spLocks noChangeArrowheads="1"/>
        </xdr:cNvSpPr>
      </xdr:nvSpPr>
      <xdr:spPr bwMode="auto">
        <a:xfrm>
          <a:off x="10972800" y="276225"/>
          <a:ext cx="2019300" cy="1619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99" mc:Ignorable="a14" a14:legacySpreadsheetColorIndex="4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de-DE" sz="800" b="1" i="0" u="none" strike="noStrike" baseline="0">
              <a:solidFill>
                <a:srgbClr val="000000"/>
              </a:solidFill>
              <a:latin typeface="Tahoma"/>
              <a:cs typeface="Tahoma"/>
            </a:rPr>
            <a:t>Punkteverteilungsszenarien</a:t>
          </a:r>
        </a:p>
        <a:p>
          <a:pPr algn="l" rtl="0">
            <a:defRPr sz="1000"/>
          </a:pPr>
          <a:r>
            <a:rPr lang="de-DE" sz="800" b="0" i="0" u="none" strike="noStrike" baseline="0">
              <a:solidFill>
                <a:srgbClr val="000000"/>
              </a:solidFill>
              <a:latin typeface="Tahoma"/>
              <a:cs typeface="Tahoma"/>
            </a:rPr>
            <a:t>1: kein Gleichstand, jedes Team hat eine andere Punktzahl*</a:t>
          </a:r>
        </a:p>
        <a:p>
          <a:pPr algn="l" rtl="0">
            <a:defRPr sz="1000"/>
          </a:pPr>
          <a:r>
            <a:rPr lang="de-DE" sz="800" b="0" i="0" u="none" strike="noStrike" baseline="0">
              <a:solidFill>
                <a:srgbClr val="000000"/>
              </a:solidFill>
              <a:latin typeface="Tahoma"/>
              <a:cs typeface="Tahoma"/>
            </a:rPr>
            <a:t>2: zwei Teams haben die gleiche Punktzahl </a:t>
          </a:r>
        </a:p>
        <a:p>
          <a:pPr algn="l" rtl="0">
            <a:defRPr sz="1000"/>
          </a:pPr>
          <a:r>
            <a:rPr lang="de-DE" sz="800" b="0" i="0" u="none" strike="noStrike" baseline="0">
              <a:solidFill>
                <a:srgbClr val="000000"/>
              </a:solidFill>
              <a:latin typeface="Tahoma"/>
              <a:cs typeface="Tahoma"/>
            </a:rPr>
            <a:t>3: drei Teams haben die gleiche Punktzahl</a:t>
          </a:r>
        </a:p>
        <a:p>
          <a:pPr algn="l" rtl="0">
            <a:defRPr sz="1000"/>
          </a:pPr>
          <a:r>
            <a:rPr lang="de-DE" sz="800" b="0" i="0" u="none" strike="noStrike" baseline="0">
              <a:solidFill>
                <a:srgbClr val="000000"/>
              </a:solidFill>
              <a:latin typeface="Tahoma"/>
              <a:cs typeface="Tahoma"/>
            </a:rPr>
            <a:t>4: je zwei Teams haben die gleiche Punktzahl</a:t>
          </a:r>
        </a:p>
        <a:p>
          <a:pPr algn="l" rtl="0">
            <a:defRPr sz="1000"/>
          </a:pPr>
          <a:r>
            <a:rPr lang="de-DE" sz="800" b="0" i="0" u="none" strike="noStrike" baseline="0">
              <a:solidFill>
                <a:srgbClr val="000000"/>
              </a:solidFill>
              <a:latin typeface="Tahoma"/>
              <a:cs typeface="Tahoma"/>
            </a:rPr>
            <a:t>5: alle Teams haben die gleiche Punktzahl</a:t>
          </a:r>
        </a:p>
        <a:p>
          <a:pPr algn="l" rtl="0">
            <a:defRPr sz="1000"/>
          </a:pPr>
          <a:endParaRPr lang="de-DE" sz="800" b="0" i="0" u="none" strike="noStrike" baseline="0">
            <a:solidFill>
              <a:srgbClr val="000000"/>
            </a:solidFill>
            <a:latin typeface="Tahoma"/>
            <a:cs typeface="Tahoma"/>
          </a:endParaRPr>
        </a:p>
        <a:p>
          <a:pPr algn="l" rtl="0">
            <a:defRPr sz="1000"/>
          </a:pPr>
          <a:r>
            <a:rPr lang="de-DE" sz="800" b="0" i="0" u="none" strike="noStrike" baseline="0">
              <a:solidFill>
                <a:srgbClr val="000000"/>
              </a:solidFill>
              <a:latin typeface="Tahoma"/>
              <a:cs typeface="Tahoma"/>
            </a:rPr>
            <a:t>* Gesamtpunktzahl aus Punkten, Tordifferenzen und erzielten Toren der ganzen Gruppe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2"/>
    <pageSetUpPr fitToPage="1"/>
  </sheetPr>
  <dimension ref="A1:T70"/>
  <sheetViews>
    <sheetView topLeftCell="A51" zoomScaleNormal="100" workbookViewId="0">
      <selection activeCell="T68" sqref="T68"/>
    </sheetView>
  </sheetViews>
  <sheetFormatPr baseColWidth="10" defaultColWidth="11.44140625" defaultRowHeight="10.199999999999999"/>
  <cols>
    <col min="1" max="1" width="4.88671875" style="3" bestFit="1" customWidth="1"/>
    <col min="2" max="2" width="6.44140625" style="99" bestFit="1" customWidth="1"/>
    <col min="3" max="3" width="6.88671875" style="105" bestFit="1" customWidth="1"/>
    <col min="4" max="4" width="5" style="1" bestFit="1" customWidth="1"/>
    <col min="5" max="5" width="31.5546875" style="1" bestFit="1" customWidth="1"/>
    <col min="6" max="6" width="1.5546875" style="1" bestFit="1" customWidth="1"/>
    <col min="7" max="7" width="31.5546875" style="1" bestFit="1" customWidth="1"/>
    <col min="8" max="8" width="3.5546875" style="1" customWidth="1"/>
    <col min="9" max="9" width="1.5546875" style="3" bestFit="1" customWidth="1"/>
    <col min="10" max="10" width="3.5546875" style="1" customWidth="1"/>
    <col min="11" max="12" width="2.33203125" style="1" customWidth="1"/>
    <col min="13" max="13" width="31.5546875" style="1" bestFit="1" customWidth="1"/>
    <col min="14" max="15" width="4.6640625" style="3" bestFit="1" customWidth="1"/>
    <col min="16" max="16" width="4.6640625" style="4" bestFit="1" customWidth="1"/>
    <col min="17" max="17" width="1.5546875" style="3" customWidth="1"/>
    <col min="18" max="18" width="4.6640625" style="5" bestFit="1" customWidth="1"/>
    <col min="19" max="19" width="4.6640625" style="3" bestFit="1" customWidth="1"/>
    <col min="20" max="16384" width="11.44140625" style="1"/>
  </cols>
  <sheetData>
    <row r="1" spans="1:20" ht="67.5" customHeight="1">
      <c r="A1" s="158"/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</row>
    <row r="2" spans="1:20" ht="31.5" customHeight="1" thickBot="1">
      <c r="A2" s="127"/>
      <c r="B2" s="129"/>
      <c r="C2" s="130"/>
      <c r="D2" s="128"/>
      <c r="E2" s="128"/>
      <c r="F2" s="128"/>
      <c r="G2" s="128"/>
      <c r="H2" s="128"/>
      <c r="I2" s="127"/>
      <c r="J2" s="128"/>
      <c r="K2" s="128"/>
      <c r="L2" s="128"/>
      <c r="M2" s="128"/>
      <c r="N2" s="127"/>
      <c r="O2" s="127"/>
      <c r="P2" s="132"/>
      <c r="Q2" s="127"/>
      <c r="R2" s="131"/>
      <c r="S2" s="127"/>
      <c r="T2" s="128"/>
    </row>
    <row r="3" spans="1:20" s="11" customFormat="1" ht="21.9" customHeight="1" thickBot="1">
      <c r="A3" s="159" t="s">
        <v>0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</row>
    <row r="4" spans="1:20" s="11" customFormat="1" ht="21.9" customHeight="1">
      <c r="A4" s="156" t="s">
        <v>1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7"/>
    </row>
    <row r="5" spans="1:20" s="7" customFormat="1">
      <c r="A5" s="3"/>
      <c r="B5" s="99"/>
      <c r="C5" s="105"/>
      <c r="D5" s="1"/>
      <c r="I5" s="8"/>
      <c r="N5" s="8"/>
      <c r="O5" s="8"/>
      <c r="P5" s="9"/>
      <c r="Q5" s="8"/>
      <c r="R5" s="10"/>
      <c r="S5" s="8"/>
    </row>
    <row r="6" spans="1:20">
      <c r="A6" s="94" t="str">
        <f>Text!B87</f>
        <v>Spiel</v>
      </c>
      <c r="B6" s="100" t="str">
        <f>Text!B88</f>
        <v>Datum</v>
      </c>
      <c r="C6" s="106" t="s">
        <v>2</v>
      </c>
      <c r="D6" s="8" t="s">
        <v>3</v>
      </c>
    </row>
    <row r="7" spans="1:20" s="11" customFormat="1" ht="18" customHeight="1">
      <c r="A7" s="140" t="str">
        <f>Text!B2</f>
        <v>GRUPPE A</v>
      </c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64"/>
    </row>
    <row r="8" spans="1:20" s="11" customFormat="1" ht="12" customHeight="1">
      <c r="A8" s="13">
        <v>1</v>
      </c>
      <c r="B8" s="101" t="s">
        <v>4</v>
      </c>
      <c r="C8" s="108">
        <v>0.41666666666666669</v>
      </c>
      <c r="D8" s="109">
        <v>1</v>
      </c>
      <c r="E8" s="133" t="str">
        <f>Text!B3</f>
        <v>TSV 1946 Bayerbach/Österreich</v>
      </c>
      <c r="F8" s="11" t="s">
        <v>5</v>
      </c>
      <c r="G8" s="11" t="str">
        <f>Text!B4</f>
        <v>TSV Langquaid/Australien</v>
      </c>
      <c r="H8" s="38">
        <v>0</v>
      </c>
      <c r="I8" s="13" t="s">
        <v>5</v>
      </c>
      <c r="J8" s="38">
        <v>0</v>
      </c>
      <c r="L8" s="14" t="b">
        <f>(Berechnung!AD10=Text!B$73)</f>
        <v>0</v>
      </c>
      <c r="M8" s="26" t="str">
        <f>Text!A2</f>
        <v>A</v>
      </c>
      <c r="N8" s="136" t="str">
        <f>Text!A$64</f>
        <v>Sp.</v>
      </c>
      <c r="O8" s="136" t="str">
        <f>Text!A$65</f>
        <v>Pkte.</v>
      </c>
      <c r="P8" s="163" t="str">
        <f>Text!A$69</f>
        <v>Tore</v>
      </c>
      <c r="Q8" s="163"/>
      <c r="R8" s="163"/>
      <c r="S8" s="136" t="str">
        <f>Text!A$68</f>
        <v>Diff.</v>
      </c>
    </row>
    <row r="9" spans="1:20" s="11" customFormat="1" ht="12" customHeight="1">
      <c r="A9" s="13">
        <v>2</v>
      </c>
      <c r="B9" s="101" t="s">
        <v>4</v>
      </c>
      <c r="C9" s="108">
        <v>0.44444444444444442</v>
      </c>
      <c r="D9" s="109">
        <v>3</v>
      </c>
      <c r="E9" s="12" t="str">
        <f>Text!B5</f>
        <v>FC Bonbruck/Bodenkirchen/Saudi-Arabien</v>
      </c>
      <c r="F9" s="11" t="s">
        <v>5</v>
      </c>
      <c r="G9" s="11" t="str">
        <f>Text!B6</f>
        <v>SG Weihmichl/Neuhausen/Senegal</v>
      </c>
      <c r="H9" s="39">
        <v>1</v>
      </c>
      <c r="I9" s="13" t="s">
        <v>5</v>
      </c>
      <c r="J9" s="39">
        <v>0</v>
      </c>
      <c r="K9" s="14">
        <f>IF(L8,L9,1)</f>
        <v>1</v>
      </c>
      <c r="L9" s="95">
        <v>1</v>
      </c>
      <c r="M9" s="27" t="str">
        <f>INDEX(Berechnung!V6:AA9,MATCH(K9,Berechnung!AD6:AD9,0),1)</f>
        <v>TSV 1946 Bayerbach/Österreich</v>
      </c>
      <c r="N9" s="28">
        <f>INDEX(Berechnung!V6:AA9,MATCH(K9,Berechnung!AD6:AD9,0),2)</f>
        <v>3</v>
      </c>
      <c r="O9" s="28">
        <f>INDEX(Berechnung!V6:AA9,MATCH(K9,Berechnung!AD6:AD9,0),3)</f>
        <v>7</v>
      </c>
      <c r="P9" s="31">
        <f>INDEX(Berechnung!V6:AA9,MATCH(K9,Berechnung!AD6:AD9,0),4)</f>
        <v>4</v>
      </c>
      <c r="Q9" s="37" t="s">
        <v>5</v>
      </c>
      <c r="R9" s="34">
        <f>INDEX(Berechnung!V6:AA9,MATCH(K9,Berechnung!AD6:AD9,0),5)</f>
        <v>0</v>
      </c>
      <c r="S9" s="28">
        <f>INDEX(Berechnung!V6:AA9,MATCH(K9,Berechnung!AD6:AD9,0),6)</f>
        <v>4</v>
      </c>
    </row>
    <row r="10" spans="1:20" s="11" customFormat="1" ht="12" customHeight="1">
      <c r="A10" s="13">
        <v>17</v>
      </c>
      <c r="B10" s="101" t="s">
        <v>4</v>
      </c>
      <c r="C10" s="108">
        <v>0.4861111111111111</v>
      </c>
      <c r="D10" s="109">
        <v>2</v>
      </c>
      <c r="E10" s="12" t="str">
        <f>Text!B3</f>
        <v>TSV 1946 Bayerbach/Österreich</v>
      </c>
      <c r="F10" s="11" t="s">
        <v>5</v>
      </c>
      <c r="G10" s="11" t="str">
        <f>Text!B5</f>
        <v>FC Bonbruck/Bodenkirchen/Saudi-Arabien</v>
      </c>
      <c r="H10" s="39">
        <v>2</v>
      </c>
      <c r="I10" s="13" t="s">
        <v>5</v>
      </c>
      <c r="J10" s="39">
        <v>0</v>
      </c>
      <c r="K10" s="14">
        <f>IF(L8,L10,2)</f>
        <v>2</v>
      </c>
      <c r="L10" s="96">
        <v>2</v>
      </c>
      <c r="M10" s="29" t="str">
        <f>INDEX(Berechnung!V6:AA9,MATCH(K10,Berechnung!AD6:AD9,0),1)</f>
        <v>FC Bonbruck/Bodenkirchen/Saudi-Arabien</v>
      </c>
      <c r="N10" s="30">
        <f>INDEX(Berechnung!V6:AA9,MATCH(K10,Berechnung!AD6:AD9,0),2)</f>
        <v>3</v>
      </c>
      <c r="O10" s="30">
        <f>INDEX(Berechnung!V6:AA9,MATCH(K10,Berechnung!AD6:AD9,0),3)</f>
        <v>6</v>
      </c>
      <c r="P10" s="32">
        <f>INDEX(Berechnung!V6:AA9,MATCH(K10,Berechnung!AD6:AD9,0),4)</f>
        <v>3</v>
      </c>
      <c r="Q10" s="13" t="s">
        <v>5</v>
      </c>
      <c r="R10" s="35">
        <f>INDEX(Berechnung!V6:AA9,MATCH(K10,Berechnung!AD6:AD9,0),5)</f>
        <v>3</v>
      </c>
      <c r="S10" s="30">
        <f>INDEX(Berechnung!V6:AA9,MATCH(K10,Berechnung!AD6:AD9,0),6)</f>
        <v>0</v>
      </c>
    </row>
    <row r="11" spans="1:20" s="11" customFormat="1" ht="12" customHeight="1">
      <c r="A11" s="13">
        <v>18</v>
      </c>
      <c r="B11" s="101" t="s">
        <v>4</v>
      </c>
      <c r="C11" s="108">
        <v>0.52777777777777779</v>
      </c>
      <c r="D11" s="109">
        <v>1</v>
      </c>
      <c r="E11" s="12" t="str">
        <f>Text!B6</f>
        <v>SG Weihmichl/Neuhausen/Senegal</v>
      </c>
      <c r="F11" s="11" t="s">
        <v>5</v>
      </c>
      <c r="G11" s="11" t="str">
        <f>Text!B4</f>
        <v>TSV Langquaid/Australien</v>
      </c>
      <c r="H11" s="39">
        <v>1</v>
      </c>
      <c r="I11" s="13" t="s">
        <v>5</v>
      </c>
      <c r="J11" s="39">
        <v>5</v>
      </c>
      <c r="K11" s="14">
        <f>IF(L8,L11,3)</f>
        <v>3</v>
      </c>
      <c r="L11" s="96">
        <v>3</v>
      </c>
      <c r="M11" s="29" t="str">
        <f>INDEX(Berechnung!V6:AA9,MATCH(K11,Berechnung!AD6:AD9,0),1)</f>
        <v>TSV Langquaid/Australien</v>
      </c>
      <c r="N11" s="30">
        <f>INDEX(Berechnung!V6:AA9,MATCH(K11,Berechnung!AD6:AD9,0),2)</f>
        <v>3</v>
      </c>
      <c r="O11" s="30">
        <f>INDEX(Berechnung!V6:AA9,MATCH(K11,Berechnung!AD6:AD9,0),3)</f>
        <v>4</v>
      </c>
      <c r="P11" s="32">
        <f>INDEX(Berechnung!V6:AA9,MATCH(K11,Berechnung!AD6:AD9,0),4)</f>
        <v>6</v>
      </c>
      <c r="Q11" s="13" t="s">
        <v>5</v>
      </c>
      <c r="R11" s="35">
        <f>INDEX(Berechnung!V6:AA9,MATCH(K11,Berechnung!AD6:AD9,0),5)</f>
        <v>3</v>
      </c>
      <c r="S11" s="30">
        <f>INDEX(Berechnung!V6:AA9,MATCH(K11,Berechnung!AD6:AD9,0),6)</f>
        <v>3</v>
      </c>
    </row>
    <row r="12" spans="1:20" s="11" customFormat="1" ht="12" customHeight="1">
      <c r="A12" s="13">
        <v>33</v>
      </c>
      <c r="B12" s="101" t="s">
        <v>4</v>
      </c>
      <c r="C12" s="108">
        <v>0.55555555555555558</v>
      </c>
      <c r="D12" s="109">
        <v>3</v>
      </c>
      <c r="E12" s="12" t="str">
        <f>Text!B6</f>
        <v>SG Weihmichl/Neuhausen/Senegal</v>
      </c>
      <c r="F12" s="11" t="s">
        <v>5</v>
      </c>
      <c r="G12" s="11" t="str">
        <f>Text!B3</f>
        <v>TSV 1946 Bayerbach/Österreich</v>
      </c>
      <c r="H12" s="39">
        <v>0</v>
      </c>
      <c r="I12" s="13" t="s">
        <v>5</v>
      </c>
      <c r="J12" s="39">
        <v>2</v>
      </c>
      <c r="K12" s="14">
        <f>IF(L8,L12,4)</f>
        <v>4</v>
      </c>
      <c r="L12" s="97">
        <f>IF(AND(Berechnung!W10,Berechnung!AD10=Text!B$72),3,4)</f>
        <v>4</v>
      </c>
      <c r="M12" s="26" t="str">
        <f>INDEX(Berechnung!V6:AA9,MATCH(K12,Berechnung!AD6:AD9,0),1)</f>
        <v>SG Weihmichl/Neuhausen/Senegal</v>
      </c>
      <c r="N12" s="136">
        <f>INDEX(Berechnung!V6:AA9,MATCH(K12,Berechnung!AD6:AD9,0),2)</f>
        <v>3</v>
      </c>
      <c r="O12" s="136">
        <f>INDEX(Berechnung!V6:AA9,MATCH(K12,Berechnung!AD6:AD9,0),3)</f>
        <v>0</v>
      </c>
      <c r="P12" s="33">
        <f>INDEX(Berechnung!V6:AA9,MATCH(K12,Berechnung!AD6:AD9,0),4)</f>
        <v>1</v>
      </c>
      <c r="Q12" s="25" t="s">
        <v>5</v>
      </c>
      <c r="R12" s="36">
        <f>INDEX(Berechnung!V6:AA9,MATCH(K12,Berechnung!AD6:AD9,0),5)</f>
        <v>8</v>
      </c>
      <c r="S12" s="136">
        <f>INDEX(Berechnung!V6:AA9,MATCH(K12,Berechnung!AD6:AD9,0),6)</f>
        <v>-7</v>
      </c>
    </row>
    <row r="13" spans="1:20" s="11" customFormat="1" ht="12" customHeight="1">
      <c r="A13" s="13">
        <v>34</v>
      </c>
      <c r="B13" s="101" t="s">
        <v>4</v>
      </c>
      <c r="C13" s="108">
        <v>0.56944444444444442</v>
      </c>
      <c r="D13" s="109">
        <v>1</v>
      </c>
      <c r="E13" s="12" t="str">
        <f>Text!B4</f>
        <v>TSV Langquaid/Australien</v>
      </c>
      <c r="F13" s="11" t="s">
        <v>5</v>
      </c>
      <c r="G13" s="11" t="str">
        <f>Text!B5</f>
        <v>FC Bonbruck/Bodenkirchen/Saudi-Arabien</v>
      </c>
      <c r="H13" s="39">
        <v>1</v>
      </c>
      <c r="I13" s="13" t="s">
        <v>5</v>
      </c>
      <c r="J13" s="39">
        <v>2</v>
      </c>
      <c r="L13" s="161" t="str">
        <f>IF(L8,Text!B$74,"")</f>
        <v/>
      </c>
      <c r="M13" s="161"/>
      <c r="N13" s="161"/>
      <c r="O13" s="161"/>
      <c r="P13" s="161"/>
      <c r="Q13" s="161"/>
      <c r="R13" s="161"/>
      <c r="S13" s="161"/>
    </row>
    <row r="14" spans="1:20" s="11" customFormat="1" ht="12" customHeight="1">
      <c r="A14" s="13"/>
      <c r="B14" s="101"/>
      <c r="C14" s="107"/>
      <c r="E14" s="12"/>
      <c r="I14" s="13"/>
      <c r="L14" s="162"/>
      <c r="M14" s="162"/>
      <c r="N14" s="162"/>
      <c r="O14" s="162"/>
      <c r="P14" s="162"/>
      <c r="Q14" s="162"/>
      <c r="R14" s="162"/>
      <c r="S14" s="162"/>
    </row>
    <row r="15" spans="1:20" s="11" customFormat="1" ht="18" customHeight="1">
      <c r="A15" s="140" t="str">
        <f>Text!B10</f>
        <v>GRUPPE B</v>
      </c>
      <c r="B15" s="140"/>
      <c r="C15" s="140"/>
      <c r="D15" s="140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64"/>
    </row>
    <row r="16" spans="1:20" s="11" customFormat="1" ht="12" customHeight="1">
      <c r="A16" s="13">
        <v>3</v>
      </c>
      <c r="B16" s="101" t="s">
        <v>4</v>
      </c>
      <c r="C16" s="108">
        <v>0.41666666666666669</v>
      </c>
      <c r="D16" s="109">
        <v>2</v>
      </c>
      <c r="E16" s="12" t="str">
        <f>Text!B11</f>
        <v>TSV Kirchberg/Algerien</v>
      </c>
      <c r="F16" s="11" t="s">
        <v>5</v>
      </c>
      <c r="G16" s="11" t="str">
        <f>Text!B12</f>
        <v>TSV Rottenburg/Schottland</v>
      </c>
      <c r="H16" s="38">
        <v>0</v>
      </c>
      <c r="I16" s="13" t="s">
        <v>5</v>
      </c>
      <c r="J16" s="38">
        <v>3</v>
      </c>
      <c r="L16" s="14" t="b">
        <f>(Berechnung!AD18=Text!B$73)</f>
        <v>0</v>
      </c>
      <c r="M16" s="26" t="str">
        <f>Text!A10</f>
        <v>B</v>
      </c>
      <c r="N16" s="136" t="str">
        <f>Text!A$64</f>
        <v>Sp.</v>
      </c>
      <c r="O16" s="136" t="str">
        <f>Text!A$65</f>
        <v>Pkte.</v>
      </c>
      <c r="P16" s="163" t="str">
        <f>Text!A$69</f>
        <v>Tore</v>
      </c>
      <c r="Q16" s="163"/>
      <c r="R16" s="163"/>
      <c r="S16" s="136" t="str">
        <f>Text!A$68</f>
        <v>Diff.</v>
      </c>
    </row>
    <row r="17" spans="1:19" s="11" customFormat="1" ht="12" customHeight="1">
      <c r="A17" s="13">
        <v>4</v>
      </c>
      <c r="B17" s="101" t="s">
        <v>4</v>
      </c>
      <c r="C17" s="108">
        <v>0.45833333333333331</v>
      </c>
      <c r="D17" s="109">
        <v>1</v>
      </c>
      <c r="E17" s="12" t="str">
        <f>Text!B13</f>
        <v>SV Gündlkofen/Südafrika</v>
      </c>
      <c r="F17" s="11" t="s">
        <v>5</v>
      </c>
      <c r="G17" s="11" t="str">
        <f>Text!B14</f>
        <v>TSV Pfaffenberg/Spanien</v>
      </c>
      <c r="H17" s="39">
        <v>0</v>
      </c>
      <c r="I17" s="13" t="s">
        <v>5</v>
      </c>
      <c r="J17" s="39">
        <v>2</v>
      </c>
      <c r="K17" s="14">
        <f>IF(L16,L17,1)</f>
        <v>1</v>
      </c>
      <c r="L17" s="95">
        <v>1</v>
      </c>
      <c r="M17" s="27" t="str">
        <f>INDEX(Berechnung!V14:AA17,MATCH(K17,Berechnung!AD14:AD17,0),1)</f>
        <v>TSV Rottenburg/Schottland</v>
      </c>
      <c r="N17" s="28">
        <f>INDEX(Berechnung!V14:AA17,MATCH(K17,Berechnung!AD14:AD17,0),2)</f>
        <v>3</v>
      </c>
      <c r="O17" s="28">
        <f>INDEX(Berechnung!V14:AA17,MATCH(K17,Berechnung!AD14:AD17,0),3)</f>
        <v>7</v>
      </c>
      <c r="P17" s="31">
        <f>INDEX(Berechnung!V14:AA17,MATCH(K17,Berechnung!AD14:AD17,0),4)</f>
        <v>5</v>
      </c>
      <c r="Q17" s="37" t="s">
        <v>5</v>
      </c>
      <c r="R17" s="34">
        <f>INDEX(Berechnung!V14:AA17,MATCH(K17,Berechnung!AD14:AD17,0),5)</f>
        <v>0</v>
      </c>
      <c r="S17" s="28">
        <f>INDEX(Berechnung!V14:AA17,MATCH(K17,Berechnung!AD14:AD17,0),6)</f>
        <v>5</v>
      </c>
    </row>
    <row r="18" spans="1:19" s="11" customFormat="1" ht="12" customHeight="1">
      <c r="A18" s="13">
        <v>19</v>
      </c>
      <c r="B18" s="101" t="s">
        <v>4</v>
      </c>
      <c r="C18" s="108">
        <v>0.4861111111111111</v>
      </c>
      <c r="D18" s="109">
        <v>3</v>
      </c>
      <c r="E18" s="12" t="str">
        <f>Text!B11</f>
        <v>TSV Kirchberg/Algerien</v>
      </c>
      <c r="F18" s="11" t="s">
        <v>5</v>
      </c>
      <c r="G18" s="11" t="str">
        <f>Text!B13</f>
        <v>SV Gündlkofen/Südafrika</v>
      </c>
      <c r="H18" s="39">
        <v>2</v>
      </c>
      <c r="I18" s="13" t="s">
        <v>5</v>
      </c>
      <c r="J18" s="39">
        <v>2</v>
      </c>
      <c r="K18" s="14">
        <f>IF(L16,L18,2)</f>
        <v>2</v>
      </c>
      <c r="L18" s="96">
        <v>2</v>
      </c>
      <c r="M18" s="29" t="str">
        <f>INDEX(Berechnung!V14:AA17,MATCH(K18,Berechnung!AD14:AD17,0),1)</f>
        <v>TSV Pfaffenberg/Spanien</v>
      </c>
      <c r="N18" s="30">
        <f>INDEX(Berechnung!V14:AA17,MATCH(K18,Berechnung!AD14:AD17,0),2)</f>
        <v>3</v>
      </c>
      <c r="O18" s="30">
        <f>INDEX(Berechnung!V14:AA17,MATCH(K18,Berechnung!AD14:AD17,0),3)</f>
        <v>6</v>
      </c>
      <c r="P18" s="32">
        <f>INDEX(Berechnung!V14:AA17,MATCH(K18,Berechnung!AD14:AD17,0),4)</f>
        <v>5</v>
      </c>
      <c r="Q18" s="13" t="s">
        <v>5</v>
      </c>
      <c r="R18" s="35">
        <f>INDEX(Berechnung!V14:AA17,MATCH(K18,Berechnung!AD14:AD17,0),5)</f>
        <v>3</v>
      </c>
      <c r="S18" s="30">
        <f>INDEX(Berechnung!V14:AA17,MATCH(K18,Berechnung!AD14:AD17,0),6)</f>
        <v>2</v>
      </c>
    </row>
    <row r="19" spans="1:19" s="11" customFormat="1" ht="12" customHeight="1">
      <c r="A19" s="13">
        <v>20</v>
      </c>
      <c r="B19" s="101" t="s">
        <v>4</v>
      </c>
      <c r="C19" s="108">
        <v>0.52777777777777779</v>
      </c>
      <c r="D19" s="109">
        <v>2</v>
      </c>
      <c r="E19" s="12" t="str">
        <f>Text!B14</f>
        <v>TSV Pfaffenberg/Spanien</v>
      </c>
      <c r="F19" s="11" t="s">
        <v>5</v>
      </c>
      <c r="G19" s="11" t="str">
        <f>Text!B12</f>
        <v>TSV Rottenburg/Schottland</v>
      </c>
      <c r="H19" s="39">
        <v>0</v>
      </c>
      <c r="I19" s="13" t="s">
        <v>5</v>
      </c>
      <c r="J19" s="39">
        <v>2</v>
      </c>
      <c r="K19" s="14">
        <f>IF(L16,L19,3)</f>
        <v>3</v>
      </c>
      <c r="L19" s="96">
        <v>3</v>
      </c>
      <c r="M19" s="29" t="str">
        <f>INDEX(Berechnung!V14:AA17,MATCH(K19,Berechnung!AD14:AD17,0),1)</f>
        <v>SV Gündlkofen/Südafrika</v>
      </c>
      <c r="N19" s="30">
        <f>INDEX(Berechnung!V14:AA17,MATCH(K19,Berechnung!AD14:AD17,0),2)</f>
        <v>3</v>
      </c>
      <c r="O19" s="30">
        <f>INDEX(Berechnung!V14:AA17,MATCH(K19,Berechnung!AD14:AD17,0),3)</f>
        <v>2</v>
      </c>
      <c r="P19" s="32">
        <f>INDEX(Berechnung!V14:AA17,MATCH(K19,Berechnung!AD14:AD17,0),4)</f>
        <v>2</v>
      </c>
      <c r="Q19" s="13" t="s">
        <v>5</v>
      </c>
      <c r="R19" s="35">
        <f>INDEX(Berechnung!V14:AA17,MATCH(K19,Berechnung!AD14:AD17,0),5)</f>
        <v>4</v>
      </c>
      <c r="S19" s="30">
        <f>INDEX(Berechnung!V14:AA17,MATCH(K19,Berechnung!AD14:AD17,0),6)</f>
        <v>-2</v>
      </c>
    </row>
    <row r="20" spans="1:19" s="11" customFormat="1" ht="12" customHeight="1">
      <c r="A20" s="13">
        <v>35</v>
      </c>
      <c r="B20" s="101" t="s">
        <v>4</v>
      </c>
      <c r="C20" s="108">
        <v>0.56944444444444442</v>
      </c>
      <c r="D20" s="109">
        <v>2</v>
      </c>
      <c r="E20" s="12" t="str">
        <f>Text!B14</f>
        <v>TSV Pfaffenberg/Spanien</v>
      </c>
      <c r="F20" s="11" t="s">
        <v>5</v>
      </c>
      <c r="G20" s="11" t="str">
        <f>Text!B11</f>
        <v>TSV Kirchberg/Algerien</v>
      </c>
      <c r="H20" s="39">
        <v>3</v>
      </c>
      <c r="I20" s="13" t="s">
        <v>5</v>
      </c>
      <c r="J20" s="39">
        <v>1</v>
      </c>
      <c r="K20" s="14">
        <f>IF(L16,L20,4)</f>
        <v>4</v>
      </c>
      <c r="L20" s="97">
        <v>4</v>
      </c>
      <c r="M20" s="26" t="str">
        <f>INDEX(Berechnung!V14:AA17,MATCH(K20,Berechnung!AD14:AD17,0),1)</f>
        <v>TSV Kirchberg/Algerien</v>
      </c>
      <c r="N20" s="136">
        <f>INDEX(Berechnung!V14:AA17,MATCH(K20,Berechnung!AD14:AD17,0),2)</f>
        <v>3</v>
      </c>
      <c r="O20" s="136">
        <f>INDEX(Berechnung!V14:AA17,MATCH(K20,Berechnung!AD14:AD17,0),3)</f>
        <v>1</v>
      </c>
      <c r="P20" s="33">
        <f>INDEX(Berechnung!V14:AA17,MATCH(K20,Berechnung!AD14:AD17,0),4)</f>
        <v>3</v>
      </c>
      <c r="Q20" s="25" t="s">
        <v>5</v>
      </c>
      <c r="R20" s="36">
        <f>INDEX(Berechnung!V14:AA17,MATCH(K20,Berechnung!AD14:AD17,0),5)</f>
        <v>8</v>
      </c>
      <c r="S20" s="136">
        <f>INDEX(Berechnung!V14:AA17,MATCH(K20,Berechnung!AD14:AD17,0),6)</f>
        <v>-5</v>
      </c>
    </row>
    <row r="21" spans="1:19" s="11" customFormat="1" ht="12" customHeight="1">
      <c r="A21" s="13">
        <v>36</v>
      </c>
      <c r="B21" s="101" t="s">
        <v>4</v>
      </c>
      <c r="C21" s="108">
        <v>0.56944444444444442</v>
      </c>
      <c r="D21" s="109">
        <v>3</v>
      </c>
      <c r="E21" s="12" t="str">
        <f>Text!B12</f>
        <v>TSV Rottenburg/Schottland</v>
      </c>
      <c r="F21" s="11" t="s">
        <v>5</v>
      </c>
      <c r="G21" s="11" t="str">
        <f>Text!B13</f>
        <v>SV Gündlkofen/Südafrika</v>
      </c>
      <c r="H21" s="39">
        <v>0</v>
      </c>
      <c r="I21" s="13" t="s">
        <v>5</v>
      </c>
      <c r="J21" s="39">
        <v>0</v>
      </c>
      <c r="L21" s="161" t="str">
        <f>IF(L16,Text!B$74,"")</f>
        <v/>
      </c>
      <c r="M21" s="161"/>
      <c r="N21" s="161"/>
      <c r="O21" s="161"/>
      <c r="P21" s="161"/>
      <c r="Q21" s="161"/>
      <c r="R21" s="161"/>
      <c r="S21" s="161"/>
    </row>
    <row r="22" spans="1:19" s="11" customFormat="1" ht="12" customHeight="1">
      <c r="A22" s="13"/>
      <c r="B22" s="101"/>
      <c r="C22" s="107"/>
      <c r="E22" s="12"/>
      <c r="I22" s="13"/>
      <c r="L22" s="162"/>
      <c r="M22" s="162"/>
      <c r="N22" s="162"/>
      <c r="O22" s="162"/>
      <c r="P22" s="162"/>
      <c r="Q22" s="162"/>
      <c r="R22" s="162"/>
      <c r="S22" s="162"/>
    </row>
    <row r="23" spans="1:19" s="11" customFormat="1" ht="18" customHeight="1">
      <c r="A23" s="140" t="str">
        <f>Text!B18</f>
        <v>GRUPPE C</v>
      </c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64"/>
    </row>
    <row r="24" spans="1:19" s="11" customFormat="1" ht="12" customHeight="1">
      <c r="A24" s="13">
        <v>5</v>
      </c>
      <c r="B24" s="101" t="s">
        <v>4</v>
      </c>
      <c r="C24" s="108">
        <v>0.41666666666666669</v>
      </c>
      <c r="D24" s="109">
        <v>3</v>
      </c>
      <c r="E24" s="12" t="str">
        <f>Text!B19</f>
        <v>SC Buch am Erlbach/Kroatien</v>
      </c>
      <c r="F24" s="11" t="s">
        <v>5</v>
      </c>
      <c r="G24" s="11" t="str">
        <f>Text!B20</f>
        <v>TSV Vilslern/Norwegen</v>
      </c>
      <c r="H24" s="38">
        <v>6</v>
      </c>
      <c r="I24" s="13" t="s">
        <v>5</v>
      </c>
      <c r="J24" s="38">
        <v>0</v>
      </c>
      <c r="L24" s="14" t="b">
        <f>(Berechnung!AD26=Text!B$73)</f>
        <v>0</v>
      </c>
      <c r="M24" s="26" t="str">
        <f>Text!A18</f>
        <v>C</v>
      </c>
      <c r="N24" s="136" t="str">
        <f>Text!A$64</f>
        <v>Sp.</v>
      </c>
      <c r="O24" s="136" t="str">
        <f>Text!A$65</f>
        <v>Pkte.</v>
      </c>
      <c r="P24" s="163" t="str">
        <f>Text!A$69</f>
        <v>Tore</v>
      </c>
      <c r="Q24" s="163"/>
      <c r="R24" s="163"/>
      <c r="S24" s="136" t="str">
        <f>Text!A$68</f>
        <v>Diff.</v>
      </c>
    </row>
    <row r="25" spans="1:19" s="11" customFormat="1" ht="12" customHeight="1">
      <c r="A25" s="13">
        <v>6</v>
      </c>
      <c r="B25" s="101" t="s">
        <v>4</v>
      </c>
      <c r="C25" s="108">
        <v>0.45833333333333331</v>
      </c>
      <c r="D25" s="109">
        <v>2</v>
      </c>
      <c r="E25" s="12" t="str">
        <f>Text!B21</f>
        <v>SG Aham/Gerzen/Portugal</v>
      </c>
      <c r="F25" s="11" t="s">
        <v>5</v>
      </c>
      <c r="G25" s="11" t="str">
        <f>Text!B22</f>
        <v>SC Pfettrach/Japan</v>
      </c>
      <c r="H25" s="39">
        <v>4</v>
      </c>
      <c r="I25" s="13" t="s">
        <v>5</v>
      </c>
      <c r="J25" s="39">
        <v>0</v>
      </c>
      <c r="K25" s="14">
        <f>IF(L24,L25,1)</f>
        <v>1</v>
      </c>
      <c r="L25" s="95">
        <v>1</v>
      </c>
      <c r="M25" s="27" t="str">
        <f>INDEX(Berechnung!V22:AA25,MATCH(K25,Berechnung!AD22:AD25,0),1)</f>
        <v>SC Buch am Erlbach/Kroatien</v>
      </c>
      <c r="N25" s="28">
        <f>INDEX(Berechnung!V22:AA25,MATCH(K25,Berechnung!AD22:AD25,0),2)</f>
        <v>3</v>
      </c>
      <c r="O25" s="28">
        <f>INDEX(Berechnung!V22:AA25,MATCH(K25,Berechnung!AD22:AD25,0),3)</f>
        <v>9</v>
      </c>
      <c r="P25" s="31">
        <f>INDEX(Berechnung!V22:AA25,MATCH(K25,Berechnung!AD22:AD25,0),4)</f>
        <v>9</v>
      </c>
      <c r="Q25" s="37" t="s">
        <v>5</v>
      </c>
      <c r="R25" s="34">
        <f>INDEX(Berechnung!V22:AA25,MATCH(K25,Berechnung!AD22:AD25,0),5)</f>
        <v>0</v>
      </c>
      <c r="S25" s="28">
        <f>INDEX(Berechnung!V22:AA25,MATCH(K25,Berechnung!AD22:AD25,0),6)</f>
        <v>9</v>
      </c>
    </row>
    <row r="26" spans="1:19" s="11" customFormat="1" ht="12" customHeight="1">
      <c r="A26" s="13">
        <v>21</v>
      </c>
      <c r="B26" s="101" t="s">
        <v>4</v>
      </c>
      <c r="C26" s="108">
        <v>0.5</v>
      </c>
      <c r="D26" s="109">
        <v>1</v>
      </c>
      <c r="E26" s="12" t="str">
        <f>Text!B19</f>
        <v>SC Buch am Erlbach/Kroatien</v>
      </c>
      <c r="F26" s="11" t="s">
        <v>5</v>
      </c>
      <c r="G26" s="11" t="str">
        <f>Text!B21</f>
        <v>SG Aham/Gerzen/Portugal</v>
      </c>
      <c r="H26" s="39">
        <v>1</v>
      </c>
      <c r="I26" s="13" t="s">
        <v>5</v>
      </c>
      <c r="J26" s="39">
        <v>0</v>
      </c>
      <c r="K26" s="14">
        <f>IF(L24,L26,2)</f>
        <v>2</v>
      </c>
      <c r="L26" s="96">
        <v>2</v>
      </c>
      <c r="M26" s="29" t="str">
        <f>INDEX(Berechnung!V22:AA25,MATCH(K26,Berechnung!AD22:AD25,0),1)</f>
        <v>SG Aham/Gerzen/Portugal</v>
      </c>
      <c r="N26" s="30">
        <f>INDEX(Berechnung!V22:AA25,MATCH(K26,Berechnung!AD22:AD25,0),2)</f>
        <v>3</v>
      </c>
      <c r="O26" s="30">
        <f>INDEX(Berechnung!V22:AA25,MATCH(K26,Berechnung!AD22:AD25,0),3)</f>
        <v>6</v>
      </c>
      <c r="P26" s="32">
        <f>INDEX(Berechnung!V22:AA25,MATCH(K26,Berechnung!AD22:AD25,0),4)</f>
        <v>6</v>
      </c>
      <c r="Q26" s="13" t="s">
        <v>5</v>
      </c>
      <c r="R26" s="35">
        <f>INDEX(Berechnung!V22:AA25,MATCH(K26,Berechnung!AD22:AD25,0),5)</f>
        <v>1</v>
      </c>
      <c r="S26" s="30">
        <f>INDEX(Berechnung!V22:AA25,MATCH(K26,Berechnung!AD22:AD25,0),6)</f>
        <v>5</v>
      </c>
    </row>
    <row r="27" spans="1:19" s="11" customFormat="1" ht="12" customHeight="1">
      <c r="A27" s="13">
        <v>22</v>
      </c>
      <c r="B27" s="101" t="s">
        <v>4</v>
      </c>
      <c r="C27" s="108">
        <v>0.52777777777777779</v>
      </c>
      <c r="D27" s="109">
        <v>3</v>
      </c>
      <c r="E27" s="12" t="str">
        <f>Text!B22</f>
        <v>SC Pfettrach/Japan</v>
      </c>
      <c r="F27" s="11" t="s">
        <v>5</v>
      </c>
      <c r="G27" s="11" t="str">
        <f>Text!B20</f>
        <v>TSV Vilslern/Norwegen</v>
      </c>
      <c r="H27" s="39">
        <v>1</v>
      </c>
      <c r="I27" s="13" t="s">
        <v>5</v>
      </c>
      <c r="J27" s="39">
        <v>1</v>
      </c>
      <c r="K27" s="14">
        <f>IF(L24,L27,3)</f>
        <v>3</v>
      </c>
      <c r="L27" s="96">
        <v>3</v>
      </c>
      <c r="M27" s="29" t="str">
        <f>INDEX(Berechnung!V22:AA25,MATCH(K27,Berechnung!AD22:AD25,0),1)</f>
        <v>SC Pfettrach/Japan</v>
      </c>
      <c r="N27" s="30">
        <f>INDEX(Berechnung!V22:AA25,MATCH(K27,Berechnung!AD22:AD25,0),2)</f>
        <v>3</v>
      </c>
      <c r="O27" s="30">
        <f>INDEX(Berechnung!V22:AA25,MATCH(K27,Berechnung!AD22:AD25,0),3)</f>
        <v>1</v>
      </c>
      <c r="P27" s="32">
        <f>INDEX(Berechnung!V22:AA25,MATCH(K27,Berechnung!AD22:AD25,0),4)</f>
        <v>1</v>
      </c>
      <c r="Q27" s="13" t="s">
        <v>5</v>
      </c>
      <c r="R27" s="35">
        <f>INDEX(Berechnung!V22:AA25,MATCH(K27,Berechnung!AD22:AD25,0),5)</f>
        <v>7</v>
      </c>
      <c r="S27" s="30">
        <f>INDEX(Berechnung!V22:AA25,MATCH(K27,Berechnung!AD22:AD25,0),6)</f>
        <v>-6</v>
      </c>
    </row>
    <row r="28" spans="1:19" s="11" customFormat="1" ht="12" customHeight="1">
      <c r="A28" s="13">
        <v>37</v>
      </c>
      <c r="B28" s="101" t="s">
        <v>4</v>
      </c>
      <c r="C28" s="108">
        <v>0.58333333333333337</v>
      </c>
      <c r="D28" s="109">
        <v>1</v>
      </c>
      <c r="E28" s="12" t="str">
        <f>Text!B22</f>
        <v>SC Pfettrach/Japan</v>
      </c>
      <c r="F28" s="11" t="s">
        <v>5</v>
      </c>
      <c r="G28" s="11" t="str">
        <f>Text!B19</f>
        <v>SC Buch am Erlbach/Kroatien</v>
      </c>
      <c r="H28" s="39">
        <v>0</v>
      </c>
      <c r="I28" s="13" t="s">
        <v>5</v>
      </c>
      <c r="J28" s="39">
        <v>2</v>
      </c>
      <c r="K28" s="14">
        <f>IF(L24,L28,4)</f>
        <v>4</v>
      </c>
      <c r="L28" s="97">
        <f>IF(AND(Berechnung!W26,Berechnung!AD26=Text!B$72),3,4)</f>
        <v>4</v>
      </c>
      <c r="M28" s="26" t="str">
        <f>INDEX(Berechnung!V22:AA25,MATCH(K28,Berechnung!AD22:AD25,0),1)</f>
        <v>TSV Vilslern/Norwegen</v>
      </c>
      <c r="N28" s="136">
        <f>INDEX(Berechnung!V22:AA25,MATCH(K28,Berechnung!AD22:AD25,0),2)</f>
        <v>3</v>
      </c>
      <c r="O28" s="136">
        <f>INDEX(Berechnung!V22:AA25,MATCH(K28,Berechnung!AD22:AD25,0),3)</f>
        <v>1</v>
      </c>
      <c r="P28" s="33">
        <f>INDEX(Berechnung!V22:AA25,MATCH(K28,Berechnung!AD22:AD25,0),4)</f>
        <v>1</v>
      </c>
      <c r="Q28" s="25" t="s">
        <v>5</v>
      </c>
      <c r="R28" s="36">
        <f>INDEX(Berechnung!V22:AA25,MATCH(K28,Berechnung!AD22:AD25,0),5)</f>
        <v>9</v>
      </c>
      <c r="S28" s="136">
        <f>INDEX(Berechnung!V22:AA25,MATCH(K28,Berechnung!AD22:AD25,0),6)</f>
        <v>-8</v>
      </c>
    </row>
    <row r="29" spans="1:19" s="11" customFormat="1" ht="12" customHeight="1">
      <c r="A29" s="13">
        <v>38</v>
      </c>
      <c r="B29" s="101" t="s">
        <v>4</v>
      </c>
      <c r="C29" s="108">
        <v>0.58333333333333337</v>
      </c>
      <c r="D29" s="109">
        <v>2</v>
      </c>
      <c r="E29" s="12" t="str">
        <f>Text!B20</f>
        <v>TSV Vilslern/Norwegen</v>
      </c>
      <c r="F29" s="11" t="s">
        <v>5</v>
      </c>
      <c r="G29" s="11" t="str">
        <f>Text!B21</f>
        <v>SG Aham/Gerzen/Portugal</v>
      </c>
      <c r="H29" s="39">
        <v>0</v>
      </c>
      <c r="I29" s="13" t="s">
        <v>5</v>
      </c>
      <c r="J29" s="39">
        <v>2</v>
      </c>
      <c r="L29" s="161" t="str">
        <f>IF(L24,Text!B$74,"")</f>
        <v/>
      </c>
      <c r="M29" s="161"/>
      <c r="N29" s="161"/>
      <c r="O29" s="161"/>
      <c r="P29" s="161"/>
      <c r="Q29" s="161"/>
      <c r="R29" s="161"/>
      <c r="S29" s="161"/>
    </row>
    <row r="30" spans="1:19" s="11" customFormat="1" ht="12" customHeight="1">
      <c r="A30" s="13"/>
      <c r="B30" s="101"/>
      <c r="C30" s="107"/>
      <c r="E30" s="12"/>
      <c r="I30" s="13"/>
      <c r="L30" s="162"/>
      <c r="M30" s="162"/>
      <c r="N30" s="162"/>
      <c r="O30" s="162"/>
      <c r="P30" s="162"/>
      <c r="Q30" s="162"/>
      <c r="R30" s="162"/>
      <c r="S30" s="162"/>
    </row>
    <row r="31" spans="1:19" s="11" customFormat="1" ht="18" customHeight="1">
      <c r="A31" s="140" t="str">
        <f>Text!B26</f>
        <v>GRUPPE D</v>
      </c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0"/>
      <c r="Q31" s="140"/>
      <c r="R31" s="140"/>
      <c r="S31" s="164"/>
    </row>
    <row r="32" spans="1:19" s="11" customFormat="1" ht="12" customHeight="1">
      <c r="A32" s="13">
        <v>7</v>
      </c>
      <c r="B32" s="101" t="s">
        <v>4</v>
      </c>
      <c r="C32" s="108">
        <v>0.43055555555555558</v>
      </c>
      <c r="D32" s="109">
        <v>1</v>
      </c>
      <c r="E32" s="12" t="str">
        <f>Text!B27</f>
        <v>TSV Rohr/Südkorea</v>
      </c>
      <c r="F32" s="11" t="s">
        <v>5</v>
      </c>
      <c r="G32" s="11" t="str">
        <f>Text!B28</f>
        <v>TSV Vilsbiburg/Mexiko</v>
      </c>
      <c r="H32" s="38">
        <v>1</v>
      </c>
      <c r="I32" s="13" t="s">
        <v>5</v>
      </c>
      <c r="J32" s="38">
        <v>4</v>
      </c>
      <c r="L32" s="14" t="b">
        <f>(Berechnung!AD34=Text!B$73)</f>
        <v>0</v>
      </c>
      <c r="M32" s="26" t="str">
        <f>Text!A26</f>
        <v>D</v>
      </c>
      <c r="N32" s="136" t="str">
        <f>Text!A$64</f>
        <v>Sp.</v>
      </c>
      <c r="O32" s="136" t="str">
        <f>Text!A$65</f>
        <v>Pkte.</v>
      </c>
      <c r="P32" s="163" t="str">
        <f>Text!A$69</f>
        <v>Tore</v>
      </c>
      <c r="Q32" s="163"/>
      <c r="R32" s="163"/>
      <c r="S32" s="136" t="str">
        <f>Text!A$68</f>
        <v>Diff.</v>
      </c>
    </row>
    <row r="33" spans="1:19" s="11" customFormat="1" ht="12" customHeight="1">
      <c r="A33" s="13">
        <v>8</v>
      </c>
      <c r="B33" s="101" t="s">
        <v>4</v>
      </c>
      <c r="C33" s="108">
        <v>0.45833333333333331</v>
      </c>
      <c r="D33" s="109">
        <v>3</v>
      </c>
      <c r="E33" s="12" t="str">
        <f>Text!B29</f>
        <v>SSV 1983 Weng/Elfenbeinküste</v>
      </c>
      <c r="F33" s="11" t="s">
        <v>5</v>
      </c>
      <c r="G33" s="11" t="str">
        <f>Text!B30</f>
        <v>SG Mallersdorf/Grafentraubach/Niederlande</v>
      </c>
      <c r="H33" s="39">
        <v>0</v>
      </c>
      <c r="I33" s="13" t="s">
        <v>5</v>
      </c>
      <c r="J33" s="39">
        <v>1</v>
      </c>
      <c r="K33" s="14">
        <f>IF(L32,L33,1)</f>
        <v>1</v>
      </c>
      <c r="L33" s="95">
        <v>1</v>
      </c>
      <c r="M33" s="27" t="str">
        <f>INDEX(Berechnung!V30:AA33,MATCH(K33,Berechnung!AD30:AD33,0),1)</f>
        <v>SG Mallersdorf/Grafentraubach/Niederlande</v>
      </c>
      <c r="N33" s="28">
        <f>INDEX(Berechnung!V30:AA33,MATCH(K33,Berechnung!AD30:AD33,0),2)</f>
        <v>3</v>
      </c>
      <c r="O33" s="28">
        <f>INDEX(Berechnung!V30:AA33,MATCH(K33,Berechnung!AD30:AD33,0),3)</f>
        <v>9</v>
      </c>
      <c r="P33" s="31">
        <f>INDEX(Berechnung!V30:AA33,MATCH(K33,Berechnung!AD30:AD33,0),4)</f>
        <v>5</v>
      </c>
      <c r="Q33" s="37" t="s">
        <v>5</v>
      </c>
      <c r="R33" s="34">
        <f>INDEX(Berechnung!V30:AA33,MATCH(K33,Berechnung!AD30:AD33,0),5)</f>
        <v>1</v>
      </c>
      <c r="S33" s="28">
        <f>INDEX(Berechnung!V30:AA33,MATCH(K33,Berechnung!AD30:AD33,0),6)</f>
        <v>4</v>
      </c>
    </row>
    <row r="34" spans="1:19" s="11" customFormat="1" ht="12" customHeight="1">
      <c r="A34" s="13">
        <v>23</v>
      </c>
      <c r="B34" s="101" t="s">
        <v>4</v>
      </c>
      <c r="C34" s="108">
        <v>0.5</v>
      </c>
      <c r="D34" s="109">
        <v>2</v>
      </c>
      <c r="E34" s="12" t="str">
        <f>Text!B27</f>
        <v>TSV Rohr/Südkorea</v>
      </c>
      <c r="F34" s="11" t="s">
        <v>5</v>
      </c>
      <c r="G34" s="11" t="str">
        <f>Text!B29</f>
        <v>SSV 1983 Weng/Elfenbeinküste</v>
      </c>
      <c r="H34" s="39">
        <v>0</v>
      </c>
      <c r="I34" s="13" t="s">
        <v>5</v>
      </c>
      <c r="J34" s="39">
        <v>2</v>
      </c>
      <c r="K34" s="14">
        <f>IF(L32,L34,2)</f>
        <v>2</v>
      </c>
      <c r="L34" s="96">
        <v>2</v>
      </c>
      <c r="M34" s="29" t="str">
        <f>INDEX(Berechnung!V30:AA33,MATCH(K34,Berechnung!AD30:AD33,0),1)</f>
        <v>TSV Vilsbiburg/Mexiko</v>
      </c>
      <c r="N34" s="30">
        <f>INDEX(Berechnung!V30:AA33,MATCH(K34,Berechnung!AD30:AD33,0),2)</f>
        <v>3</v>
      </c>
      <c r="O34" s="30">
        <f>INDEX(Berechnung!V30:AA33,MATCH(K34,Berechnung!AD30:AD33,0),3)</f>
        <v>6</v>
      </c>
      <c r="P34" s="32">
        <f>INDEX(Berechnung!V30:AA33,MATCH(K34,Berechnung!AD30:AD33,0),4)</f>
        <v>7</v>
      </c>
      <c r="Q34" s="13" t="s">
        <v>5</v>
      </c>
      <c r="R34" s="35">
        <f>INDEX(Berechnung!V30:AA33,MATCH(K34,Berechnung!AD30:AD33,0),5)</f>
        <v>5</v>
      </c>
      <c r="S34" s="30">
        <f>INDEX(Berechnung!V30:AA33,MATCH(K34,Berechnung!AD30:AD33,0),6)</f>
        <v>2</v>
      </c>
    </row>
    <row r="35" spans="1:19" s="11" customFormat="1" ht="12" customHeight="1">
      <c r="A35" s="13">
        <v>24</v>
      </c>
      <c r="B35" s="101" t="s">
        <v>4</v>
      </c>
      <c r="C35" s="108">
        <v>0.54166666666666663</v>
      </c>
      <c r="D35" s="109">
        <v>1</v>
      </c>
      <c r="E35" s="12" t="str">
        <f>Text!B30</f>
        <v>SG Mallersdorf/Grafentraubach/Niederlande</v>
      </c>
      <c r="F35" s="11" t="s">
        <v>5</v>
      </c>
      <c r="G35" s="11" t="str">
        <f>Text!B28</f>
        <v>TSV Vilsbiburg/Mexiko</v>
      </c>
      <c r="H35" s="39">
        <v>3</v>
      </c>
      <c r="I35" s="13" t="s">
        <v>5</v>
      </c>
      <c r="J35" s="39">
        <v>1</v>
      </c>
      <c r="K35" s="14">
        <f>IF(L32,L35,3)</f>
        <v>3</v>
      </c>
      <c r="L35" s="96">
        <v>3</v>
      </c>
      <c r="M35" s="29" t="str">
        <f>INDEX(Berechnung!V30:AA33,MATCH(K35,Berechnung!AD30:AD33,0),1)</f>
        <v>SSV 1983 Weng/Elfenbeinküste</v>
      </c>
      <c r="N35" s="30">
        <f>INDEX(Berechnung!V30:AA33,MATCH(K35,Berechnung!AD30:AD33,0),2)</f>
        <v>3</v>
      </c>
      <c r="O35" s="30">
        <f>INDEX(Berechnung!V30:AA33,MATCH(K35,Berechnung!AD30:AD33,0),3)</f>
        <v>3</v>
      </c>
      <c r="P35" s="32">
        <f>INDEX(Berechnung!V30:AA33,MATCH(K35,Berechnung!AD30:AD33,0),4)</f>
        <v>3</v>
      </c>
      <c r="Q35" s="13" t="s">
        <v>5</v>
      </c>
      <c r="R35" s="35">
        <f>INDEX(Berechnung!V30:AA33,MATCH(K35,Berechnung!AD30:AD33,0),5)</f>
        <v>3</v>
      </c>
      <c r="S35" s="30">
        <f>INDEX(Berechnung!V30:AA33,MATCH(K35,Berechnung!AD30:AD33,0),6)</f>
        <v>0</v>
      </c>
    </row>
    <row r="36" spans="1:19" s="11" customFormat="1" ht="12" customHeight="1">
      <c r="A36" s="13">
        <v>39</v>
      </c>
      <c r="B36" s="101" t="s">
        <v>4</v>
      </c>
      <c r="C36" s="108">
        <v>0.58333333333333337</v>
      </c>
      <c r="D36" s="109">
        <v>3</v>
      </c>
      <c r="E36" s="12" t="str">
        <f>Text!B30</f>
        <v>SG Mallersdorf/Grafentraubach/Niederlande</v>
      </c>
      <c r="F36" s="11" t="s">
        <v>5</v>
      </c>
      <c r="G36" s="11" t="str">
        <f>Text!B27</f>
        <v>TSV Rohr/Südkorea</v>
      </c>
      <c r="H36" s="39">
        <v>1</v>
      </c>
      <c r="I36" s="13" t="s">
        <v>5</v>
      </c>
      <c r="J36" s="39">
        <v>0</v>
      </c>
      <c r="K36" s="14">
        <f>IF(L32,L36,4)</f>
        <v>4</v>
      </c>
      <c r="L36" s="97">
        <f>IF(AND(Berechnung!W34,Berechnung!AD34=Text!B$72),3,4)</f>
        <v>4</v>
      </c>
      <c r="M36" s="26" t="str">
        <f>INDEX(Berechnung!V30:AA33,MATCH(K36,Berechnung!AD30:AD33,0),1)</f>
        <v>TSV Rohr/Südkorea</v>
      </c>
      <c r="N36" s="136">
        <f>INDEX(Berechnung!V30:AA33,MATCH(K36,Berechnung!AD30:AD33,0),2)</f>
        <v>3</v>
      </c>
      <c r="O36" s="136">
        <f>INDEX(Berechnung!V30:AA33,MATCH(K36,Berechnung!AD30:AD33,0),3)</f>
        <v>0</v>
      </c>
      <c r="P36" s="33">
        <f>INDEX(Berechnung!V30:AA33,MATCH(K36,Berechnung!AD30:AD33,0),4)</f>
        <v>1</v>
      </c>
      <c r="Q36" s="25" t="s">
        <v>5</v>
      </c>
      <c r="R36" s="36">
        <f>INDEX(Berechnung!V30:AA33,MATCH(K36,Berechnung!AD30:AD33,0),5)</f>
        <v>7</v>
      </c>
      <c r="S36" s="136">
        <f>INDEX(Berechnung!V30:AA33,MATCH(K36,Berechnung!AD30:AD33,0),6)</f>
        <v>-6</v>
      </c>
    </row>
    <row r="37" spans="1:19" s="11" customFormat="1" ht="12" customHeight="1">
      <c r="A37" s="13">
        <v>40</v>
      </c>
      <c r="B37" s="101" t="s">
        <v>4</v>
      </c>
      <c r="C37" s="108">
        <v>0.59722222222222221</v>
      </c>
      <c r="D37" s="109">
        <v>1</v>
      </c>
      <c r="E37" s="12" t="str">
        <f>Text!B28</f>
        <v>TSV Vilsbiburg/Mexiko</v>
      </c>
      <c r="F37" s="11" t="s">
        <v>5</v>
      </c>
      <c r="G37" s="11" t="str">
        <f>Text!B29</f>
        <v>SSV 1983 Weng/Elfenbeinküste</v>
      </c>
      <c r="H37" s="39">
        <v>2</v>
      </c>
      <c r="I37" s="13" t="s">
        <v>5</v>
      </c>
      <c r="J37" s="39">
        <v>1</v>
      </c>
      <c r="L37" s="161" t="str">
        <f>IF(L32,Text!B$74,"")</f>
        <v/>
      </c>
      <c r="M37" s="161"/>
      <c r="N37" s="161"/>
      <c r="O37" s="161"/>
      <c r="P37" s="161"/>
      <c r="Q37" s="161"/>
      <c r="R37" s="161"/>
      <c r="S37" s="161"/>
    </row>
    <row r="38" spans="1:19" s="11" customFormat="1" ht="12" customHeight="1">
      <c r="A38" s="13"/>
      <c r="B38" s="101"/>
      <c r="C38" s="107"/>
      <c r="E38" s="12"/>
      <c r="I38" s="13"/>
      <c r="L38" s="162"/>
      <c r="M38" s="162"/>
      <c r="N38" s="162"/>
      <c r="O38" s="162"/>
      <c r="P38" s="162"/>
      <c r="Q38" s="162"/>
      <c r="R38" s="162"/>
      <c r="S38" s="162"/>
    </row>
    <row r="39" spans="1:19" s="11" customFormat="1" ht="18" customHeight="1">
      <c r="A39" s="140" t="str">
        <f>Text!B34</f>
        <v>GRUPPE E</v>
      </c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  <c r="R39" s="140"/>
      <c r="S39" s="164"/>
    </row>
    <row r="40" spans="1:19" s="11" customFormat="1" ht="12" customHeight="1">
      <c r="A40" s="13">
        <v>9</v>
      </c>
      <c r="B40" s="101" t="s">
        <v>4</v>
      </c>
      <c r="C40" s="108">
        <v>0.43055555555555558</v>
      </c>
      <c r="D40" s="109">
        <v>2</v>
      </c>
      <c r="E40" s="12" t="str">
        <f>Text!B35</f>
        <v>SV Wörth/Frankreich</v>
      </c>
      <c r="F40" s="11" t="s">
        <v>5</v>
      </c>
      <c r="G40" s="11" t="str">
        <f>Text!B36</f>
        <v>SV Kumhausen/Marokko</v>
      </c>
      <c r="H40" s="38">
        <v>6</v>
      </c>
      <c r="I40" s="13" t="s">
        <v>5</v>
      </c>
      <c r="J40" s="38">
        <v>1</v>
      </c>
      <c r="L40" s="14" t="b">
        <f>(Berechnung!AD42=Text!B$73)</f>
        <v>0</v>
      </c>
      <c r="M40" s="26" t="str">
        <f>Text!A34</f>
        <v>E</v>
      </c>
      <c r="N40" s="136" t="str">
        <f>Text!A$64</f>
        <v>Sp.</v>
      </c>
      <c r="O40" s="136" t="str">
        <f>Text!A$65</f>
        <v>Pkte.</v>
      </c>
      <c r="P40" s="163" t="str">
        <f>Text!A$69</f>
        <v>Tore</v>
      </c>
      <c r="Q40" s="163"/>
      <c r="R40" s="163"/>
      <c r="S40" s="136" t="str">
        <f>Text!A$68</f>
        <v>Diff.</v>
      </c>
    </row>
    <row r="41" spans="1:19" s="11" customFormat="1" ht="12" customHeight="1">
      <c r="A41" s="13">
        <v>10</v>
      </c>
      <c r="B41" s="101" t="s">
        <v>4</v>
      </c>
      <c r="C41" s="108">
        <v>0.47222222222222227</v>
      </c>
      <c r="D41" s="109">
        <v>1</v>
      </c>
      <c r="E41" s="12" t="str">
        <f>Text!B37</f>
        <v>SpVgg Landshut/Kanada</v>
      </c>
      <c r="F41" s="11" t="s">
        <v>5</v>
      </c>
      <c r="G41" s="11" t="str">
        <f>Text!B38</f>
        <v>ETSV 09 Landshut/Belgien</v>
      </c>
      <c r="H41" s="39">
        <v>10</v>
      </c>
      <c r="I41" s="13" t="s">
        <v>5</v>
      </c>
      <c r="J41" s="39">
        <v>0</v>
      </c>
      <c r="K41" s="14">
        <f>IF(L40,L41,1)</f>
        <v>1</v>
      </c>
      <c r="L41" s="95">
        <v>1</v>
      </c>
      <c r="M41" s="27" t="str">
        <f>INDEX(Berechnung!V38:AA41,MATCH(K41,Berechnung!AD38:AD41,0),1)</f>
        <v>SpVgg Landshut/Kanada</v>
      </c>
      <c r="N41" s="28">
        <f>INDEX(Berechnung!V38:AA41,MATCH(K41,Berechnung!AD38:AD41,0),2)</f>
        <v>3</v>
      </c>
      <c r="O41" s="28">
        <f>INDEX(Berechnung!V38:AA41,MATCH(K41,Berechnung!AD38:AD41,0),3)</f>
        <v>9</v>
      </c>
      <c r="P41" s="31">
        <f>INDEX(Berechnung!V38:AA41,MATCH(K41,Berechnung!AD38:AD41,0),4)</f>
        <v>15</v>
      </c>
      <c r="Q41" s="37" t="s">
        <v>5</v>
      </c>
      <c r="R41" s="34">
        <f>INDEX(Berechnung!V38:AA41,MATCH(K41,Berechnung!AD38:AD41,0),5)</f>
        <v>2</v>
      </c>
      <c r="S41" s="28">
        <f>INDEX(Berechnung!V38:AA41,MATCH(K41,Berechnung!AD38:AD41,0),6)</f>
        <v>13</v>
      </c>
    </row>
    <row r="42" spans="1:19" s="11" customFormat="1" ht="12" customHeight="1">
      <c r="A42" s="13">
        <v>25</v>
      </c>
      <c r="B42" s="101" t="s">
        <v>4</v>
      </c>
      <c r="C42" s="108">
        <v>0.5</v>
      </c>
      <c r="D42" s="109">
        <v>3</v>
      </c>
      <c r="E42" s="12" t="str">
        <f>Text!B35</f>
        <v>SV Wörth/Frankreich</v>
      </c>
      <c r="F42" s="11" t="s">
        <v>5</v>
      </c>
      <c r="G42" s="11" t="str">
        <f>Text!B37</f>
        <v>SpVgg Landshut/Kanada</v>
      </c>
      <c r="H42" s="39">
        <v>1</v>
      </c>
      <c r="I42" s="13" t="s">
        <v>5</v>
      </c>
      <c r="J42" s="39">
        <v>2</v>
      </c>
      <c r="K42" s="14">
        <f>IF(L40,L42,2)</f>
        <v>2</v>
      </c>
      <c r="L42" s="96">
        <v>2</v>
      </c>
      <c r="M42" s="29" t="str">
        <f>INDEX(Berechnung!V38:AA41,MATCH(K42,Berechnung!AD38:AD41,0),1)</f>
        <v>SV Wörth/Frankreich</v>
      </c>
      <c r="N42" s="30">
        <f>INDEX(Berechnung!V38:AA41,MATCH(K42,Berechnung!AD38:AD41,0),2)</f>
        <v>3</v>
      </c>
      <c r="O42" s="30">
        <f>INDEX(Berechnung!V38:AA41,MATCH(K42,Berechnung!AD38:AD41,0),3)</f>
        <v>6</v>
      </c>
      <c r="P42" s="32">
        <f>INDEX(Berechnung!V38:AA41,MATCH(K42,Berechnung!AD38:AD41,0),4)</f>
        <v>15</v>
      </c>
      <c r="Q42" s="13" t="s">
        <v>5</v>
      </c>
      <c r="R42" s="35">
        <f>INDEX(Berechnung!V38:AA41,MATCH(K42,Berechnung!AD38:AD41,0),5)</f>
        <v>4</v>
      </c>
      <c r="S42" s="30">
        <f>INDEX(Berechnung!V38:AA41,MATCH(K42,Berechnung!AD38:AD41,0),6)</f>
        <v>11</v>
      </c>
    </row>
    <row r="43" spans="1:19" s="11" customFormat="1" ht="12" customHeight="1">
      <c r="A43" s="13">
        <v>26</v>
      </c>
      <c r="B43" s="101" t="s">
        <v>4</v>
      </c>
      <c r="C43" s="108">
        <v>0.54166666666666663</v>
      </c>
      <c r="D43" s="109">
        <v>2</v>
      </c>
      <c r="E43" s="12" t="str">
        <f>Text!B38</f>
        <v>ETSV 09 Landshut/Belgien</v>
      </c>
      <c r="F43" s="11" t="s">
        <v>5</v>
      </c>
      <c r="G43" s="11" t="str">
        <f>Text!B36</f>
        <v>SV Kumhausen/Marokko</v>
      </c>
      <c r="H43" s="39">
        <v>1</v>
      </c>
      <c r="I43" s="13" t="s">
        <v>5</v>
      </c>
      <c r="J43" s="39">
        <v>4</v>
      </c>
      <c r="K43" s="14">
        <f>IF(L40,L43,3)</f>
        <v>3</v>
      </c>
      <c r="L43" s="96">
        <v>3</v>
      </c>
      <c r="M43" s="29" t="str">
        <f>INDEX(Berechnung!V38:AA41,MATCH(K43,Berechnung!AD38:AD41,0),1)</f>
        <v>SV Kumhausen/Marokko</v>
      </c>
      <c r="N43" s="30">
        <f>INDEX(Berechnung!V38:AA41,MATCH(K43,Berechnung!AD38:AD41,0),2)</f>
        <v>3</v>
      </c>
      <c r="O43" s="30">
        <f>INDEX(Berechnung!V38:AA41,MATCH(K43,Berechnung!AD38:AD41,0),3)</f>
        <v>3</v>
      </c>
      <c r="P43" s="32">
        <f>INDEX(Berechnung!V38:AA41,MATCH(K43,Berechnung!AD38:AD41,0),4)</f>
        <v>6</v>
      </c>
      <c r="Q43" s="13" t="s">
        <v>5</v>
      </c>
      <c r="R43" s="35">
        <f>INDEX(Berechnung!V38:AA41,MATCH(K43,Berechnung!AD38:AD41,0),5)</f>
        <v>10</v>
      </c>
      <c r="S43" s="30">
        <f>INDEX(Berechnung!V38:AA41,MATCH(K43,Berechnung!AD38:AD41,0),6)</f>
        <v>-4</v>
      </c>
    </row>
    <row r="44" spans="1:19" s="11" customFormat="1" ht="12" customHeight="1">
      <c r="A44" s="13">
        <v>41</v>
      </c>
      <c r="B44" s="101" t="s">
        <v>4</v>
      </c>
      <c r="C44" s="108">
        <v>0.59722222222222221</v>
      </c>
      <c r="D44" s="109">
        <v>2</v>
      </c>
      <c r="E44" s="12" t="str">
        <f>Text!B38</f>
        <v>ETSV 09 Landshut/Belgien</v>
      </c>
      <c r="F44" s="11" t="s">
        <v>5</v>
      </c>
      <c r="G44" s="11" t="str">
        <f>Text!B35</f>
        <v>SV Wörth/Frankreich</v>
      </c>
      <c r="H44" s="39">
        <v>1</v>
      </c>
      <c r="I44" s="13" t="s">
        <v>5</v>
      </c>
      <c r="J44" s="39">
        <v>8</v>
      </c>
      <c r="K44" s="14">
        <f>IF(L40,L44,4)</f>
        <v>4</v>
      </c>
      <c r="L44" s="97">
        <f>IF(AND(Berechnung!W42,Berechnung!AD42=Text!B$72),3,4)</f>
        <v>4</v>
      </c>
      <c r="M44" s="26" t="str">
        <f>INDEX(Berechnung!V38:AA41,MATCH(K44,Berechnung!AD38:AD41,0),1)</f>
        <v>ETSV 09 Landshut/Belgien</v>
      </c>
      <c r="N44" s="136">
        <f>INDEX(Berechnung!V38:AA41,MATCH(K44,Berechnung!AD38:AD41,0),2)</f>
        <v>3</v>
      </c>
      <c r="O44" s="136">
        <f>INDEX(Berechnung!V38:AA41,MATCH(K44,Berechnung!AD38:AD41,0),3)</f>
        <v>0</v>
      </c>
      <c r="P44" s="33">
        <f>INDEX(Berechnung!V38:AA41,MATCH(K44,Berechnung!AD38:AD41,0),4)</f>
        <v>2</v>
      </c>
      <c r="Q44" s="25" t="s">
        <v>5</v>
      </c>
      <c r="R44" s="36">
        <f>INDEX(Berechnung!V38:AA41,MATCH(K44,Berechnung!AD38:AD41,0),5)</f>
        <v>22</v>
      </c>
      <c r="S44" s="136">
        <f>INDEX(Berechnung!V38:AA41,MATCH(K44,Berechnung!AD38:AD41,0),6)</f>
        <v>-20</v>
      </c>
    </row>
    <row r="45" spans="1:19" s="11" customFormat="1" ht="12" customHeight="1">
      <c r="A45" s="13">
        <v>42</v>
      </c>
      <c r="B45" s="101" t="s">
        <v>4</v>
      </c>
      <c r="C45" s="108">
        <v>0.59722222222222221</v>
      </c>
      <c r="D45" s="109">
        <v>3</v>
      </c>
      <c r="E45" s="12" t="str">
        <f>Text!B36</f>
        <v>SV Kumhausen/Marokko</v>
      </c>
      <c r="F45" s="11" t="s">
        <v>5</v>
      </c>
      <c r="G45" s="11" t="str">
        <f>Text!B37</f>
        <v>SpVgg Landshut/Kanada</v>
      </c>
      <c r="H45" s="39">
        <v>1</v>
      </c>
      <c r="I45" s="13" t="s">
        <v>5</v>
      </c>
      <c r="J45" s="39">
        <v>3</v>
      </c>
      <c r="L45" s="161" t="str">
        <f>IF(L40,Text!B$74,"")</f>
        <v/>
      </c>
      <c r="M45" s="161"/>
      <c r="N45" s="161"/>
      <c r="O45" s="161"/>
      <c r="P45" s="161"/>
      <c r="Q45" s="161"/>
      <c r="R45" s="161"/>
      <c r="S45" s="161"/>
    </row>
    <row r="46" spans="1:19" s="11" customFormat="1" ht="12" customHeight="1">
      <c r="A46" s="13"/>
      <c r="B46" s="101"/>
      <c r="C46" s="107"/>
      <c r="E46" s="12"/>
      <c r="I46" s="13"/>
      <c r="L46" s="162"/>
      <c r="M46" s="162"/>
      <c r="N46" s="162"/>
      <c r="O46" s="162"/>
      <c r="P46" s="162"/>
      <c r="Q46" s="162"/>
      <c r="R46" s="162"/>
      <c r="S46" s="162"/>
    </row>
    <row r="47" spans="1:19" s="11" customFormat="1" ht="18" customHeight="1">
      <c r="A47" s="140" t="str">
        <f>Text!B42</f>
        <v>GRUPPE F</v>
      </c>
      <c r="B47" s="140"/>
      <c r="C47" s="140"/>
      <c r="D47" s="140"/>
      <c r="E47" s="140"/>
      <c r="F47" s="140"/>
      <c r="G47" s="140"/>
      <c r="H47" s="140"/>
      <c r="I47" s="140"/>
      <c r="J47" s="140"/>
      <c r="K47" s="140"/>
      <c r="L47" s="140"/>
      <c r="M47" s="140"/>
      <c r="N47" s="140"/>
      <c r="O47" s="140"/>
      <c r="P47" s="140"/>
      <c r="Q47" s="140"/>
      <c r="R47" s="140"/>
      <c r="S47" s="164"/>
    </row>
    <row r="48" spans="1:19" s="11" customFormat="1" ht="12" customHeight="1">
      <c r="A48" s="13">
        <v>11</v>
      </c>
      <c r="B48" s="101" t="s">
        <v>4</v>
      </c>
      <c r="C48" s="108">
        <v>0.43055555555555558</v>
      </c>
      <c r="D48" s="109">
        <v>3</v>
      </c>
      <c r="E48" s="12" t="str">
        <f>Text!B43</f>
        <v>TSV Baierbach/England</v>
      </c>
      <c r="F48" s="11" t="s">
        <v>5</v>
      </c>
      <c r="G48" s="11" t="str">
        <f>Text!B44</f>
        <v>TSV Altfraunhofen/Curacao</v>
      </c>
      <c r="H48" s="38">
        <v>0</v>
      </c>
      <c r="I48" s="13" t="s">
        <v>5</v>
      </c>
      <c r="J48" s="38">
        <v>1</v>
      </c>
      <c r="L48" s="14" t="b">
        <f>(Berechnung!AD50=Text!B$73)</f>
        <v>0</v>
      </c>
      <c r="M48" s="26" t="str">
        <f>Text!A42</f>
        <v>F</v>
      </c>
      <c r="N48" s="136" t="str">
        <f>Text!A$64</f>
        <v>Sp.</v>
      </c>
      <c r="O48" s="136" t="str">
        <f>Text!A$65</f>
        <v>Pkte.</v>
      </c>
      <c r="P48" s="163" t="str">
        <f>Text!A$69</f>
        <v>Tore</v>
      </c>
      <c r="Q48" s="163"/>
      <c r="R48" s="163"/>
      <c r="S48" s="136" t="str">
        <f>Text!A$68</f>
        <v>Diff.</v>
      </c>
    </row>
    <row r="49" spans="1:19" s="11" customFormat="1" ht="12" customHeight="1">
      <c r="A49" s="13">
        <v>12</v>
      </c>
      <c r="B49" s="101" t="s">
        <v>4</v>
      </c>
      <c r="C49" s="108">
        <v>0.47222222222222227</v>
      </c>
      <c r="D49" s="109">
        <v>2</v>
      </c>
      <c r="E49" s="12" t="str">
        <f>Text!B45</f>
        <v>TSV Landshut-Auloh/Argentinien</v>
      </c>
      <c r="F49" s="11" t="s">
        <v>5</v>
      </c>
      <c r="G49" s="11" t="str">
        <f>Text!B46</f>
        <v>SV Sallach/Schweiz</v>
      </c>
      <c r="H49" s="39">
        <v>4</v>
      </c>
      <c r="I49" s="13" t="s">
        <v>5</v>
      </c>
      <c r="J49" s="39">
        <v>0</v>
      </c>
      <c r="K49" s="14">
        <f>IF(L48,L49,1)</f>
        <v>1</v>
      </c>
      <c r="L49" s="95">
        <v>1</v>
      </c>
      <c r="M49" s="27" t="str">
        <f>INDEX(Berechnung!V46:AA49,MATCH(K49,Berechnung!AD46:AD49,0),1)</f>
        <v>TSV Landshut-Auloh/Argentinien</v>
      </c>
      <c r="N49" s="28">
        <f>INDEX(Berechnung!V46:AA49,MATCH(K49,Berechnung!AD46:AD49,0),2)</f>
        <v>3</v>
      </c>
      <c r="O49" s="28">
        <f>INDEX(Berechnung!V46:AA49,MATCH(K49,Berechnung!AD46:AD49,0),3)</f>
        <v>7</v>
      </c>
      <c r="P49" s="31">
        <f>INDEX(Berechnung!V46:AA49,MATCH(K49,Berechnung!AD46:AD49,0),4)</f>
        <v>5</v>
      </c>
      <c r="Q49" s="37" t="s">
        <v>5</v>
      </c>
      <c r="R49" s="34">
        <f>INDEX(Berechnung!V46:AA49,MATCH(K49,Berechnung!AD46:AD49,0),5)</f>
        <v>0</v>
      </c>
      <c r="S49" s="28">
        <f>INDEX(Berechnung!V46:AA49,MATCH(K49,Berechnung!AD46:AD49,0),6)</f>
        <v>5</v>
      </c>
    </row>
    <row r="50" spans="1:19" s="11" customFormat="1" ht="12" customHeight="1">
      <c r="A50" s="13">
        <v>27</v>
      </c>
      <c r="B50" s="101" t="s">
        <v>4</v>
      </c>
      <c r="C50" s="108">
        <v>0.51388888888888895</v>
      </c>
      <c r="D50" s="109">
        <v>1</v>
      </c>
      <c r="E50" s="12" t="str">
        <f>Text!B43</f>
        <v>TSV Baierbach/England</v>
      </c>
      <c r="F50" s="11" t="s">
        <v>5</v>
      </c>
      <c r="G50" s="11" t="str">
        <f>Text!B45</f>
        <v>TSV Landshut-Auloh/Argentinien</v>
      </c>
      <c r="H50" s="39">
        <v>0</v>
      </c>
      <c r="I50" s="13" t="s">
        <v>5</v>
      </c>
      <c r="J50" s="39">
        <v>1</v>
      </c>
      <c r="K50" s="14">
        <f>IF(L48,L50,2)</f>
        <v>2</v>
      </c>
      <c r="L50" s="96">
        <v>2</v>
      </c>
      <c r="M50" s="29" t="str">
        <f>INDEX(Berechnung!V46:AA49,MATCH(K50,Berechnung!AD46:AD49,0),1)</f>
        <v>TSV Altfraunhofen/Curacao</v>
      </c>
      <c r="N50" s="30">
        <f>INDEX(Berechnung!V46:AA49,MATCH(K50,Berechnung!AD46:AD49,0),2)</f>
        <v>3</v>
      </c>
      <c r="O50" s="30">
        <f>INDEX(Berechnung!V46:AA49,MATCH(K50,Berechnung!AD46:AD49,0),3)</f>
        <v>7</v>
      </c>
      <c r="P50" s="32">
        <f>INDEX(Berechnung!V46:AA49,MATCH(K50,Berechnung!AD46:AD49,0),4)</f>
        <v>4</v>
      </c>
      <c r="Q50" s="13" t="s">
        <v>5</v>
      </c>
      <c r="R50" s="35">
        <f>INDEX(Berechnung!V46:AA49,MATCH(K50,Berechnung!AD46:AD49,0),5)</f>
        <v>0</v>
      </c>
      <c r="S50" s="30">
        <f>INDEX(Berechnung!V46:AA49,MATCH(K50,Berechnung!AD46:AD49,0),6)</f>
        <v>4</v>
      </c>
    </row>
    <row r="51" spans="1:19" s="11" customFormat="1" ht="12" customHeight="1">
      <c r="A51" s="13">
        <v>28</v>
      </c>
      <c r="B51" s="101" t="s">
        <v>4</v>
      </c>
      <c r="C51" s="108">
        <v>0.54166666666666663</v>
      </c>
      <c r="D51" s="109">
        <v>3</v>
      </c>
      <c r="E51" s="12" t="str">
        <f>Text!B46</f>
        <v>SV Sallach/Schweiz</v>
      </c>
      <c r="F51" s="11" t="s">
        <v>5</v>
      </c>
      <c r="G51" s="11" t="str">
        <f>Text!B44</f>
        <v>TSV Altfraunhofen/Curacao</v>
      </c>
      <c r="H51" s="39">
        <v>0</v>
      </c>
      <c r="I51" s="13" t="s">
        <v>5</v>
      </c>
      <c r="J51" s="39">
        <v>3</v>
      </c>
      <c r="K51" s="14">
        <f>IF(L48,L51,3)</f>
        <v>3</v>
      </c>
      <c r="L51" s="96">
        <v>3</v>
      </c>
      <c r="M51" s="29" t="str">
        <f>INDEX(Berechnung!V46:AA49,MATCH(K51,Berechnung!AD46:AD49,0),1)</f>
        <v>TSV Baierbach/England</v>
      </c>
      <c r="N51" s="30">
        <f>INDEX(Berechnung!V46:AA49,MATCH(K51,Berechnung!AD46:AD49,0),2)</f>
        <v>3</v>
      </c>
      <c r="O51" s="30">
        <f>INDEX(Berechnung!V46:AA49,MATCH(K51,Berechnung!AD46:AD49,0),3)</f>
        <v>3</v>
      </c>
      <c r="P51" s="32">
        <f>INDEX(Berechnung!V46:AA49,MATCH(K51,Berechnung!AD46:AD49,0),4)</f>
        <v>2</v>
      </c>
      <c r="Q51" s="13" t="s">
        <v>5</v>
      </c>
      <c r="R51" s="35">
        <f>INDEX(Berechnung!V46:AA49,MATCH(K51,Berechnung!AD46:AD49,0),5)</f>
        <v>2</v>
      </c>
      <c r="S51" s="30">
        <f>INDEX(Berechnung!V46:AA49,MATCH(K51,Berechnung!AD46:AD49,0),6)</f>
        <v>0</v>
      </c>
    </row>
    <row r="52" spans="1:19" s="11" customFormat="1" ht="12" customHeight="1">
      <c r="A52" s="13">
        <v>43</v>
      </c>
      <c r="B52" s="101" t="s">
        <v>4</v>
      </c>
      <c r="C52" s="108">
        <v>0.61111111111111105</v>
      </c>
      <c r="D52" s="109">
        <v>1</v>
      </c>
      <c r="E52" s="12" t="str">
        <f>Text!B46</f>
        <v>SV Sallach/Schweiz</v>
      </c>
      <c r="F52" s="11" t="s">
        <v>5</v>
      </c>
      <c r="G52" s="11" t="str">
        <f>Text!B43</f>
        <v>TSV Baierbach/England</v>
      </c>
      <c r="H52" s="39">
        <v>0</v>
      </c>
      <c r="I52" s="13" t="s">
        <v>5</v>
      </c>
      <c r="J52" s="39">
        <v>2</v>
      </c>
      <c r="K52" s="14">
        <f>IF(L48,L52,4)</f>
        <v>4</v>
      </c>
      <c r="L52" s="97">
        <f>IF(AND(Berechnung!W50,Berechnung!AD50=Text!B$72),3,4)</f>
        <v>4</v>
      </c>
      <c r="M52" s="26" t="str">
        <f>INDEX(Berechnung!V46:AA49,MATCH(K52,Berechnung!AD46:AD49,0),1)</f>
        <v>SV Sallach/Schweiz</v>
      </c>
      <c r="N52" s="136">
        <f>INDEX(Berechnung!V46:AA49,MATCH(K52,Berechnung!AD46:AD49,0),2)</f>
        <v>3</v>
      </c>
      <c r="O52" s="136">
        <f>INDEX(Berechnung!V46:AA49,MATCH(K52,Berechnung!AD46:AD49,0),3)</f>
        <v>0</v>
      </c>
      <c r="P52" s="33">
        <f>INDEX(Berechnung!V46:AA49,MATCH(K52,Berechnung!AD46:AD49,0),4)</f>
        <v>0</v>
      </c>
      <c r="Q52" s="25" t="s">
        <v>5</v>
      </c>
      <c r="R52" s="36">
        <f>INDEX(Berechnung!V46:AA49,MATCH(K52,Berechnung!AD46:AD49,0),5)</f>
        <v>9</v>
      </c>
      <c r="S52" s="136">
        <f>INDEX(Berechnung!V46:AA49,MATCH(K52,Berechnung!AD46:AD49,0),6)</f>
        <v>-9</v>
      </c>
    </row>
    <row r="53" spans="1:19" s="11" customFormat="1" ht="12" customHeight="1">
      <c r="A53" s="13">
        <v>44</v>
      </c>
      <c r="B53" s="101" t="s">
        <v>4</v>
      </c>
      <c r="C53" s="108">
        <v>0.61111111111111105</v>
      </c>
      <c r="D53" s="109">
        <v>2</v>
      </c>
      <c r="E53" s="12" t="str">
        <f>Text!B44</f>
        <v>TSV Altfraunhofen/Curacao</v>
      </c>
      <c r="F53" s="11" t="s">
        <v>5</v>
      </c>
      <c r="G53" s="11" t="str">
        <f>Text!B45</f>
        <v>TSV Landshut-Auloh/Argentinien</v>
      </c>
      <c r="H53" s="39">
        <v>0</v>
      </c>
      <c r="I53" s="13" t="s">
        <v>5</v>
      </c>
      <c r="J53" s="39">
        <v>0</v>
      </c>
      <c r="L53" s="161" t="str">
        <f>IF(L48,Text!B$74,"")</f>
        <v/>
      </c>
      <c r="M53" s="161"/>
      <c r="N53" s="161"/>
      <c r="O53" s="161"/>
      <c r="P53" s="161"/>
      <c r="Q53" s="161"/>
      <c r="R53" s="161"/>
      <c r="S53" s="161"/>
    </row>
    <row r="54" spans="1:19" s="11" customFormat="1" ht="12" customHeight="1">
      <c r="A54" s="13"/>
      <c r="B54" s="101"/>
      <c r="C54" s="107"/>
      <c r="E54" s="12"/>
      <c r="I54" s="13"/>
      <c r="L54" s="162"/>
      <c r="M54" s="162"/>
      <c r="N54" s="162"/>
      <c r="O54" s="162"/>
      <c r="P54" s="162"/>
      <c r="Q54" s="162"/>
      <c r="R54" s="162"/>
      <c r="S54" s="162"/>
    </row>
    <row r="55" spans="1:19" s="11" customFormat="1" ht="18" customHeight="1">
      <c r="A55" s="140" t="str">
        <f>Text!B50</f>
        <v>GRUPPE G</v>
      </c>
      <c r="B55" s="140"/>
      <c r="C55" s="140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64"/>
    </row>
    <row r="56" spans="1:19" s="11" customFormat="1" ht="12" customHeight="1">
      <c r="A56" s="13">
        <v>13</v>
      </c>
      <c r="B56" s="101" t="s">
        <v>4</v>
      </c>
      <c r="C56" s="108">
        <v>0.44444444444444442</v>
      </c>
      <c r="D56" s="109">
        <v>1</v>
      </c>
      <c r="E56" s="12" t="str">
        <f>Text!B51</f>
        <v>DJK SV Furth/Katar</v>
      </c>
      <c r="F56" s="11" t="s">
        <v>5</v>
      </c>
      <c r="G56" s="11" t="str">
        <f>Text!B52</f>
        <v>DJK-SV Altdorf/Uruguay</v>
      </c>
      <c r="H56" s="38">
        <v>1</v>
      </c>
      <c r="I56" s="13" t="s">
        <v>5</v>
      </c>
      <c r="J56" s="38">
        <v>1</v>
      </c>
      <c r="L56" s="14" t="b">
        <f>(Berechnung!AD58=Text!B$73)</f>
        <v>0</v>
      </c>
      <c r="M56" s="26" t="str">
        <f>Text!A50</f>
        <v>G</v>
      </c>
      <c r="N56" s="136" t="str">
        <f>Text!A$64</f>
        <v>Sp.</v>
      </c>
      <c r="O56" s="136" t="str">
        <f>Text!A$65</f>
        <v>Pkte.</v>
      </c>
      <c r="P56" s="163" t="str">
        <f>Text!A$69</f>
        <v>Tore</v>
      </c>
      <c r="Q56" s="163"/>
      <c r="R56" s="163"/>
      <c r="S56" s="136" t="str">
        <f>Text!A$68</f>
        <v>Diff.</v>
      </c>
    </row>
    <row r="57" spans="1:19" s="11" customFormat="1" ht="12" customHeight="1">
      <c r="A57" s="13">
        <v>14</v>
      </c>
      <c r="B57" s="101" t="s">
        <v>4</v>
      </c>
      <c r="C57" s="108">
        <v>0.47222222222222227</v>
      </c>
      <c r="D57" s="109">
        <v>3</v>
      </c>
      <c r="E57" s="12" t="str">
        <f>Text!B53</f>
        <v>TSV Ergoldsbach/Neuseeland</v>
      </c>
      <c r="F57" s="11" t="s">
        <v>5</v>
      </c>
      <c r="G57" s="11" t="str">
        <f>Text!B54</f>
        <v>FC Ergolding/Brasilien</v>
      </c>
      <c r="H57" s="39">
        <v>2</v>
      </c>
      <c r="I57" s="13" t="s">
        <v>5</v>
      </c>
      <c r="J57" s="39">
        <v>1</v>
      </c>
      <c r="K57" s="14">
        <f>IF(L56,L57,1)</f>
        <v>1</v>
      </c>
      <c r="L57" s="95">
        <v>1</v>
      </c>
      <c r="M57" s="27" t="str">
        <f>INDEX(Berechnung!V54:AA57,MATCH(K57,Berechnung!AD54:AD57,0),1)</f>
        <v>TSV Ergoldsbach/Neuseeland</v>
      </c>
      <c r="N57" s="28">
        <f>INDEX(Berechnung!V54:AA57,MATCH(K57,Berechnung!AD54:AD57,0),2)</f>
        <v>3</v>
      </c>
      <c r="O57" s="28">
        <f>INDEX(Berechnung!V54:AA57,MATCH(K57,Berechnung!AD54:AD57,0),3)</f>
        <v>7</v>
      </c>
      <c r="P57" s="31">
        <f>INDEX(Berechnung!V54:AA57,MATCH(K57,Berechnung!AD54:AD57,0),4)</f>
        <v>6</v>
      </c>
      <c r="Q57" s="37" t="s">
        <v>5</v>
      </c>
      <c r="R57" s="34">
        <f>INDEX(Berechnung!V54:AA57,MATCH(K57,Berechnung!AD54:AD57,0),5)</f>
        <v>3</v>
      </c>
      <c r="S57" s="28">
        <f>INDEX(Berechnung!V54:AA57,MATCH(K57,Berechnung!AD54:AD57,0),6)</f>
        <v>3</v>
      </c>
    </row>
    <row r="58" spans="1:19" s="11" customFormat="1" ht="12" customHeight="1">
      <c r="A58" s="13">
        <v>29</v>
      </c>
      <c r="B58" s="101" t="s">
        <v>4</v>
      </c>
      <c r="C58" s="108">
        <v>0.51388888888888895</v>
      </c>
      <c r="D58" s="109">
        <v>2</v>
      </c>
      <c r="E58" s="12" t="str">
        <f>Text!B51</f>
        <v>DJK SV Furth/Katar</v>
      </c>
      <c r="F58" s="11" t="s">
        <v>5</v>
      </c>
      <c r="G58" s="11" t="str">
        <f>Text!B53</f>
        <v>TSV Ergoldsbach/Neuseeland</v>
      </c>
      <c r="H58" s="39">
        <v>1</v>
      </c>
      <c r="I58" s="13" t="s">
        <v>5</v>
      </c>
      <c r="J58" s="39">
        <v>3</v>
      </c>
      <c r="K58" s="14">
        <f>IF(L56,L58,2)</f>
        <v>2</v>
      </c>
      <c r="L58" s="96">
        <v>2</v>
      </c>
      <c r="M58" s="29" t="str">
        <f>INDEX(Berechnung!V54:AA57,MATCH(K58,Berechnung!AD54:AD57,0),1)</f>
        <v>DJK-SV Altdorf/Uruguay</v>
      </c>
      <c r="N58" s="30">
        <f>INDEX(Berechnung!V54:AA57,MATCH(K58,Berechnung!AD54:AD57,0),2)</f>
        <v>3</v>
      </c>
      <c r="O58" s="30">
        <f>INDEX(Berechnung!V54:AA57,MATCH(K58,Berechnung!AD54:AD57,0),3)</f>
        <v>3</v>
      </c>
      <c r="P58" s="32">
        <f>INDEX(Berechnung!V54:AA57,MATCH(K58,Berechnung!AD54:AD57,0),4)</f>
        <v>2</v>
      </c>
      <c r="Q58" s="13" t="s">
        <v>5</v>
      </c>
      <c r="R58" s="35">
        <f>INDEX(Berechnung!V54:AA57,MATCH(K58,Berechnung!AD54:AD57,0),5)</f>
        <v>2</v>
      </c>
      <c r="S58" s="30">
        <f>INDEX(Berechnung!V54:AA57,MATCH(K58,Berechnung!AD54:AD57,0),6)</f>
        <v>0</v>
      </c>
    </row>
    <row r="59" spans="1:19" s="11" customFormat="1" ht="12" customHeight="1">
      <c r="A59" s="13">
        <v>30</v>
      </c>
      <c r="B59" s="101" t="s">
        <v>4</v>
      </c>
      <c r="C59" s="108">
        <v>0.55555555555555558</v>
      </c>
      <c r="D59" s="109">
        <v>1</v>
      </c>
      <c r="E59" s="12" t="str">
        <f>Text!B54</f>
        <v>FC Ergolding/Brasilien</v>
      </c>
      <c r="F59" s="11" t="s">
        <v>5</v>
      </c>
      <c r="G59" s="11" t="str">
        <f>Text!B52</f>
        <v>DJK-SV Altdorf/Uruguay</v>
      </c>
      <c r="H59" s="39">
        <v>0</v>
      </c>
      <c r="I59" s="13" t="s">
        <v>5</v>
      </c>
      <c r="J59" s="39">
        <v>0</v>
      </c>
      <c r="K59" s="14">
        <f>IF(L56,L59,3)</f>
        <v>3</v>
      </c>
      <c r="L59" s="96">
        <v>3</v>
      </c>
      <c r="M59" s="29" t="str">
        <f>INDEX(Berechnung!V54:AA57,MATCH(K59,Berechnung!AD54:AD57,0),1)</f>
        <v>FC Ergolding/Brasilien</v>
      </c>
      <c r="N59" s="30">
        <f>INDEX(Berechnung!V54:AA57,MATCH(K59,Berechnung!AD54:AD57,0),2)</f>
        <v>3</v>
      </c>
      <c r="O59" s="30">
        <f>INDEX(Berechnung!V54:AA57,MATCH(K59,Berechnung!AD54:AD57,0),3)</f>
        <v>2</v>
      </c>
      <c r="P59" s="32">
        <f>INDEX(Berechnung!V54:AA57,MATCH(K59,Berechnung!AD54:AD57,0),4)</f>
        <v>1</v>
      </c>
      <c r="Q59" s="13" t="s">
        <v>5</v>
      </c>
      <c r="R59" s="35">
        <f>INDEX(Berechnung!V54:AA57,MATCH(K59,Berechnung!AD54:AD57,0),5)</f>
        <v>2</v>
      </c>
      <c r="S59" s="30">
        <f>INDEX(Berechnung!V54:AA57,MATCH(K59,Berechnung!AD54:AD57,0),6)</f>
        <v>-1</v>
      </c>
    </row>
    <row r="60" spans="1:19" s="11" customFormat="1" ht="12" customHeight="1">
      <c r="A60" s="13">
        <v>45</v>
      </c>
      <c r="B60" s="101" t="s">
        <v>4</v>
      </c>
      <c r="C60" s="108">
        <v>0.61111111111111105</v>
      </c>
      <c r="D60" s="109">
        <v>3</v>
      </c>
      <c r="E60" s="12" t="str">
        <f>Text!B54</f>
        <v>FC Ergolding/Brasilien</v>
      </c>
      <c r="F60" s="11" t="s">
        <v>5</v>
      </c>
      <c r="G60" s="11" t="str">
        <f>Text!B51</f>
        <v>DJK SV Furth/Katar</v>
      </c>
      <c r="H60" s="39">
        <v>0</v>
      </c>
      <c r="I60" s="13" t="s">
        <v>5</v>
      </c>
      <c r="J60" s="39">
        <v>0</v>
      </c>
      <c r="K60" s="14">
        <f>IF(L56,L60,4)</f>
        <v>4</v>
      </c>
      <c r="L60" s="97">
        <f>IF(AND(Berechnung!W58,Berechnung!AD58=Text!B$72),3,4)</f>
        <v>4</v>
      </c>
      <c r="M60" s="26" t="str">
        <f>INDEX(Berechnung!V54:AA57,MATCH(K60,Berechnung!AD54:AD57,0),1)</f>
        <v>DJK SV Furth/Katar</v>
      </c>
      <c r="N60" s="136">
        <f>INDEX(Berechnung!V54:AA57,MATCH(K60,Berechnung!AD54:AD57,0),2)</f>
        <v>3</v>
      </c>
      <c r="O60" s="136">
        <f>INDEX(Berechnung!V54:AA57,MATCH(K60,Berechnung!AD54:AD57,0),3)</f>
        <v>2</v>
      </c>
      <c r="P60" s="33">
        <f>INDEX(Berechnung!V54:AA57,MATCH(K60,Berechnung!AD54:AD57,0),4)</f>
        <v>2</v>
      </c>
      <c r="Q60" s="25" t="s">
        <v>5</v>
      </c>
      <c r="R60" s="36">
        <f>INDEX(Berechnung!V54:AA57,MATCH(K60,Berechnung!AD54:AD57,0),5)</f>
        <v>4</v>
      </c>
      <c r="S60" s="136">
        <f>INDEX(Berechnung!V54:AA57,MATCH(K60,Berechnung!AD54:AD57,0),6)</f>
        <v>-2</v>
      </c>
    </row>
    <row r="61" spans="1:19" s="11" customFormat="1" ht="12" customHeight="1">
      <c r="A61" s="13">
        <v>46</v>
      </c>
      <c r="B61" s="101" t="s">
        <v>4</v>
      </c>
      <c r="C61" s="108">
        <v>0.625</v>
      </c>
      <c r="D61" s="109">
        <v>3</v>
      </c>
      <c r="E61" s="12" t="str">
        <f>Text!B52</f>
        <v>DJK-SV Altdorf/Uruguay</v>
      </c>
      <c r="F61" s="11" t="s">
        <v>5</v>
      </c>
      <c r="G61" s="11" t="str">
        <f>Text!B53</f>
        <v>TSV Ergoldsbach/Neuseeland</v>
      </c>
      <c r="H61" s="39">
        <v>1</v>
      </c>
      <c r="I61" s="13" t="s">
        <v>5</v>
      </c>
      <c r="J61" s="39">
        <v>1</v>
      </c>
      <c r="L61" s="161" t="str">
        <f>IF(L56,Text!B$74,"")</f>
        <v/>
      </c>
      <c r="M61" s="161"/>
      <c r="N61" s="161"/>
      <c r="O61" s="161"/>
      <c r="P61" s="161"/>
      <c r="Q61" s="161"/>
      <c r="R61" s="161"/>
      <c r="S61" s="161"/>
    </row>
    <row r="62" spans="1:19" s="11" customFormat="1" ht="12" customHeight="1">
      <c r="A62" s="13"/>
      <c r="B62" s="101"/>
      <c r="C62" s="107"/>
      <c r="E62" s="12"/>
      <c r="I62" s="13"/>
      <c r="L62" s="162"/>
      <c r="M62" s="162"/>
      <c r="N62" s="162"/>
      <c r="O62" s="162"/>
      <c r="P62" s="162"/>
      <c r="Q62" s="162"/>
      <c r="R62" s="162"/>
      <c r="S62" s="162"/>
    </row>
    <row r="63" spans="1:19" s="11" customFormat="1" ht="18" customHeight="1">
      <c r="A63" s="140" t="str">
        <f>Text!B58</f>
        <v>GRUPPE H</v>
      </c>
      <c r="B63" s="140"/>
      <c r="C63" s="140"/>
      <c r="D63" s="140"/>
      <c r="E63" s="140"/>
      <c r="F63" s="140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</row>
    <row r="64" spans="1:19" s="11" customFormat="1" ht="12" customHeight="1">
      <c r="A64" s="13">
        <v>15</v>
      </c>
      <c r="B64" s="101" t="s">
        <v>4</v>
      </c>
      <c r="C64" s="108">
        <v>0.44444444444444442</v>
      </c>
      <c r="D64" s="109">
        <v>2</v>
      </c>
      <c r="E64" s="12" t="str">
        <f>Text!B59</f>
        <v>SV Oberglaim/Kolumbien</v>
      </c>
      <c r="F64" s="11" t="s">
        <v>5</v>
      </c>
      <c r="G64" s="11" t="str">
        <f>Text!B60</f>
        <v>SSV Pfeffenhausen/Deutschland</v>
      </c>
      <c r="H64" s="38">
        <v>2</v>
      </c>
      <c r="I64" s="13" t="s">
        <v>5</v>
      </c>
      <c r="J64" s="38">
        <v>1</v>
      </c>
      <c r="L64" s="14" t="b">
        <f>(Berechnung!AD66=Text!B$73)</f>
        <v>0</v>
      </c>
      <c r="M64" s="26" t="str">
        <f>Text!A58</f>
        <v>H</v>
      </c>
      <c r="N64" s="136" t="str">
        <f>Text!A$64</f>
        <v>Sp.</v>
      </c>
      <c r="O64" s="136" t="str">
        <f>Text!A$65</f>
        <v>Pkte.</v>
      </c>
      <c r="P64" s="163" t="str">
        <f>Text!A$69</f>
        <v>Tore</v>
      </c>
      <c r="Q64" s="163"/>
      <c r="R64" s="163"/>
      <c r="S64" s="136" t="str">
        <f>Text!A$68</f>
        <v>Diff.</v>
      </c>
    </row>
    <row r="65" spans="1:19" s="11" customFormat="1" ht="12" customHeight="1">
      <c r="A65" s="13">
        <v>16</v>
      </c>
      <c r="B65" s="101" t="s">
        <v>4</v>
      </c>
      <c r="C65" s="108">
        <v>0.4861111111111111</v>
      </c>
      <c r="D65" s="109">
        <v>1</v>
      </c>
      <c r="E65" s="12" t="str">
        <f>Text!B61</f>
        <v>SV Münchnerau/Ghana</v>
      </c>
      <c r="F65" s="11" t="s">
        <v>5</v>
      </c>
      <c r="G65" s="11" t="str">
        <f>Text!B62</f>
        <v>VfR Laberweinting/USA</v>
      </c>
      <c r="H65" s="39">
        <v>0</v>
      </c>
      <c r="I65" s="13" t="s">
        <v>5</v>
      </c>
      <c r="J65" s="39">
        <v>2</v>
      </c>
      <c r="K65" s="14">
        <f>IF(L64,L65,1)</f>
        <v>1</v>
      </c>
      <c r="L65" s="95">
        <v>1</v>
      </c>
      <c r="M65" s="27" t="str">
        <f>INDEX(Berechnung!V62:AA65,MATCH(K65,Berechnung!AD62:AD65,0),1)</f>
        <v>VfR Laberweinting/USA</v>
      </c>
      <c r="N65" s="28">
        <f>INDEX(Berechnung!V62:AA65,MATCH(K65,Berechnung!AD62:AD65,0),2)</f>
        <v>3</v>
      </c>
      <c r="O65" s="28">
        <f>INDEX(Berechnung!V62:AA65,MATCH(K65,Berechnung!AD62:AD65,0),3)</f>
        <v>9</v>
      </c>
      <c r="P65" s="31">
        <f>INDEX(Berechnung!V62:AA65,MATCH(K65,Berechnung!AD62:AD65,0),4)</f>
        <v>12</v>
      </c>
      <c r="Q65" s="37" t="s">
        <v>5</v>
      </c>
      <c r="R65" s="34">
        <f>INDEX(Berechnung!V62:AA65,MATCH(K65,Berechnung!AD62:AD65,0),5)</f>
        <v>1</v>
      </c>
      <c r="S65" s="28">
        <f>INDEX(Berechnung!V62:AA65,MATCH(K65,Berechnung!AD62:AD65,0),6)</f>
        <v>11</v>
      </c>
    </row>
    <row r="66" spans="1:19" s="11" customFormat="1" ht="12" customHeight="1">
      <c r="A66" s="13">
        <v>31</v>
      </c>
      <c r="B66" s="101" t="s">
        <v>4</v>
      </c>
      <c r="C66" s="108">
        <v>0.51388888888888895</v>
      </c>
      <c r="D66" s="109">
        <v>3</v>
      </c>
      <c r="E66" s="12" t="str">
        <f>Text!B59</f>
        <v>SV Oberglaim/Kolumbien</v>
      </c>
      <c r="F66" s="11" t="s">
        <v>5</v>
      </c>
      <c r="G66" s="11" t="str">
        <f>Text!B61</f>
        <v>SV Münchnerau/Ghana</v>
      </c>
      <c r="H66" s="39">
        <v>0</v>
      </c>
      <c r="I66" s="13" t="s">
        <v>5</v>
      </c>
      <c r="J66" s="39">
        <v>0</v>
      </c>
      <c r="K66" s="14">
        <f>IF(L64,L66,2)</f>
        <v>2</v>
      </c>
      <c r="L66" s="96">
        <v>2</v>
      </c>
      <c r="M66" s="29" t="str">
        <f>INDEX(Berechnung!V62:AA65,MATCH(K66,Berechnung!AD62:AD65,0),1)</f>
        <v>SV Oberglaim/Kolumbien</v>
      </c>
      <c r="N66" s="30">
        <f>INDEX(Berechnung!V62:AA65,MATCH(K66,Berechnung!AD62:AD65,0),2)</f>
        <v>3</v>
      </c>
      <c r="O66" s="30">
        <f>INDEX(Berechnung!V62:AA65,MATCH(K66,Berechnung!AD62:AD65,0),3)</f>
        <v>4</v>
      </c>
      <c r="P66" s="32">
        <f>INDEX(Berechnung!V62:AA65,MATCH(K66,Berechnung!AD62:AD65,0),4)</f>
        <v>3</v>
      </c>
      <c r="Q66" s="13" t="s">
        <v>5</v>
      </c>
      <c r="R66" s="35">
        <f>INDEX(Berechnung!V62:AA65,MATCH(K66,Berechnung!AD62:AD65,0),5)</f>
        <v>5</v>
      </c>
      <c r="S66" s="30">
        <f>INDEX(Berechnung!V62:AA65,MATCH(K66,Berechnung!AD62:AD65,0),6)</f>
        <v>-2</v>
      </c>
    </row>
    <row r="67" spans="1:19" s="11" customFormat="1" ht="12" customHeight="1">
      <c r="A67" s="13">
        <v>32</v>
      </c>
      <c r="B67" s="101" t="s">
        <v>4</v>
      </c>
      <c r="C67" s="108">
        <v>0.55555555555555558</v>
      </c>
      <c r="D67" s="109">
        <v>2</v>
      </c>
      <c r="E67" s="12" t="str">
        <f>Text!B62</f>
        <v>VfR Laberweinting/USA</v>
      </c>
      <c r="F67" s="11" t="s">
        <v>5</v>
      </c>
      <c r="G67" s="11" t="str">
        <f>Text!B60</f>
        <v>SSV Pfeffenhausen/Deutschland</v>
      </c>
      <c r="H67" s="39">
        <v>6</v>
      </c>
      <c r="I67" s="13" t="s">
        <v>5</v>
      </c>
      <c r="J67" s="39">
        <v>0</v>
      </c>
      <c r="K67" s="14">
        <f>IF(L64,L67,3)</f>
        <v>3</v>
      </c>
      <c r="L67" s="96">
        <v>3</v>
      </c>
      <c r="M67" s="29" t="str">
        <f>INDEX(Berechnung!V62:AA65,MATCH(K67,Berechnung!AD62:AD65,0),1)</f>
        <v>SV Münchnerau/Ghana</v>
      </c>
      <c r="N67" s="30">
        <f>INDEX(Berechnung!V62:AA65,MATCH(K67,Berechnung!AD62:AD65,0),2)</f>
        <v>3</v>
      </c>
      <c r="O67" s="30">
        <f>INDEX(Berechnung!V62:AA65,MATCH(K67,Berechnung!AD62:AD65,0),3)</f>
        <v>2</v>
      </c>
      <c r="P67" s="32">
        <f>INDEX(Berechnung!V62:AA65,MATCH(K67,Berechnung!AD62:AD65,0),4)</f>
        <v>1</v>
      </c>
      <c r="Q67" s="13" t="s">
        <v>5</v>
      </c>
      <c r="R67" s="35">
        <f>INDEX(Berechnung!V62:AA65,MATCH(K67,Berechnung!AD62:AD65,0),5)</f>
        <v>3</v>
      </c>
      <c r="S67" s="30">
        <f>INDEX(Berechnung!V62:AA65,MATCH(K67,Berechnung!AD62:AD65,0),6)</f>
        <v>-2</v>
      </c>
    </row>
    <row r="68" spans="1:19" s="11" customFormat="1" ht="12" customHeight="1">
      <c r="A68" s="13">
        <v>47</v>
      </c>
      <c r="B68" s="101" t="s">
        <v>4</v>
      </c>
      <c r="C68" s="108">
        <v>0.625</v>
      </c>
      <c r="D68" s="109">
        <v>1</v>
      </c>
      <c r="E68" s="12" t="str">
        <f>Text!B62</f>
        <v>VfR Laberweinting/USA</v>
      </c>
      <c r="F68" s="11" t="s">
        <v>5</v>
      </c>
      <c r="G68" s="11" t="str">
        <f>Text!B59</f>
        <v>SV Oberglaim/Kolumbien</v>
      </c>
      <c r="H68" s="39">
        <v>4</v>
      </c>
      <c r="I68" s="13" t="s">
        <v>5</v>
      </c>
      <c r="J68" s="39">
        <v>1</v>
      </c>
      <c r="K68" s="14">
        <f>IF(L64,L68,4)</f>
        <v>4</v>
      </c>
      <c r="L68" s="97">
        <f>IF(AND(Berechnung!W66,Berechnung!AD66=Text!B$72),3,4)</f>
        <v>4</v>
      </c>
      <c r="M68" s="26" t="str">
        <f>INDEX(Berechnung!V62:AA65,MATCH(K68,Berechnung!AD62:AD65,0),1)</f>
        <v>SSV Pfeffenhausen/Deutschland</v>
      </c>
      <c r="N68" s="136">
        <f>INDEX(Berechnung!V62:AA65,MATCH(K68,Berechnung!AD62:AD65,0),2)</f>
        <v>3</v>
      </c>
      <c r="O68" s="136">
        <f>INDEX(Berechnung!V62:AA65,MATCH(K68,Berechnung!AD62:AD65,0),3)</f>
        <v>1</v>
      </c>
      <c r="P68" s="33">
        <f>INDEX(Berechnung!V62:AA65,MATCH(K68,Berechnung!AD62:AD65,0),4)</f>
        <v>2</v>
      </c>
      <c r="Q68" s="25" t="s">
        <v>5</v>
      </c>
      <c r="R68" s="36">
        <f>INDEX(Berechnung!V62:AA65,MATCH(K68,Berechnung!AD62:AD65,0),5)</f>
        <v>9</v>
      </c>
      <c r="S68" s="136">
        <f>INDEX(Berechnung!V62:AA65,MATCH(K68,Berechnung!AD62:AD65,0),6)</f>
        <v>-7</v>
      </c>
    </row>
    <row r="69" spans="1:19" s="11" customFormat="1" ht="12" customHeight="1">
      <c r="A69" s="13">
        <v>48</v>
      </c>
      <c r="B69" s="101" t="s">
        <v>4</v>
      </c>
      <c r="C69" s="108">
        <v>0.625</v>
      </c>
      <c r="D69" s="109">
        <v>2</v>
      </c>
      <c r="E69" s="12" t="str">
        <f>Text!B60</f>
        <v>SSV Pfeffenhausen/Deutschland</v>
      </c>
      <c r="F69" s="11" t="s">
        <v>5</v>
      </c>
      <c r="G69" s="11" t="str">
        <f>Text!B61</f>
        <v>SV Münchnerau/Ghana</v>
      </c>
      <c r="H69" s="39">
        <v>1</v>
      </c>
      <c r="I69" s="13" t="s">
        <v>5</v>
      </c>
      <c r="J69" s="39">
        <v>1</v>
      </c>
      <c r="L69" s="161" t="str">
        <f>IF(L64,Text!B$74,"")</f>
        <v/>
      </c>
      <c r="M69" s="161"/>
      <c r="N69" s="161"/>
      <c r="O69" s="161"/>
      <c r="P69" s="161"/>
      <c r="Q69" s="161"/>
      <c r="R69" s="161"/>
      <c r="S69" s="161"/>
    </row>
    <row r="70" spans="1:19" s="11" customFormat="1" ht="12" customHeight="1">
      <c r="A70" s="13"/>
      <c r="B70" s="101"/>
      <c r="C70" s="107"/>
      <c r="I70" s="13"/>
      <c r="L70" s="162"/>
      <c r="M70" s="162"/>
      <c r="N70" s="162"/>
      <c r="O70" s="162"/>
      <c r="P70" s="162"/>
      <c r="Q70" s="162"/>
      <c r="R70" s="162"/>
      <c r="S70" s="162"/>
    </row>
  </sheetData>
  <sheetProtection selectLockedCells="1"/>
  <mergeCells count="27">
    <mergeCell ref="P24:R24"/>
    <mergeCell ref="L69:S70"/>
    <mergeCell ref="A31:S31"/>
    <mergeCell ref="A23:S23"/>
    <mergeCell ref="A15:S15"/>
    <mergeCell ref="L37:S38"/>
    <mergeCell ref="P64:R64"/>
    <mergeCell ref="A63:S63"/>
    <mergeCell ref="A55:S55"/>
    <mergeCell ref="L61:S62"/>
    <mergeCell ref="P56:R56"/>
    <mergeCell ref="A4:S4"/>
    <mergeCell ref="A1:S1"/>
    <mergeCell ref="A3:S3"/>
    <mergeCell ref="L45:S46"/>
    <mergeCell ref="L53:S54"/>
    <mergeCell ref="P32:R32"/>
    <mergeCell ref="P40:R40"/>
    <mergeCell ref="P48:R48"/>
    <mergeCell ref="A47:S47"/>
    <mergeCell ref="A39:S39"/>
    <mergeCell ref="A7:S7"/>
    <mergeCell ref="L13:S14"/>
    <mergeCell ref="L21:S22"/>
    <mergeCell ref="L29:S30"/>
    <mergeCell ref="P8:R8"/>
    <mergeCell ref="P16:R16"/>
  </mergeCells>
  <phoneticPr fontId="0" type="noConversion"/>
  <conditionalFormatting sqref="L9 L17 L25 L33 L41 L49 L57 L65">
    <cfRule type="expression" dxfId="4" priority="1" stopIfTrue="1">
      <formula>L8</formula>
    </cfRule>
  </conditionalFormatting>
  <conditionalFormatting sqref="L10 L18 L26 L34 L42 L50 L58 L66">
    <cfRule type="expression" dxfId="3" priority="2" stopIfTrue="1">
      <formula>L8</formula>
    </cfRule>
  </conditionalFormatting>
  <conditionalFormatting sqref="L11 L19 L27 L35 L43 L51 L59 L67">
    <cfRule type="expression" dxfId="2" priority="3" stopIfTrue="1">
      <formula>L8</formula>
    </cfRule>
  </conditionalFormatting>
  <conditionalFormatting sqref="L12 L20 L28 L36 L44 L52 L60 L68">
    <cfRule type="expression" dxfId="1" priority="4" stopIfTrue="1">
      <formula>L8</formula>
    </cfRule>
  </conditionalFormatting>
  <dataValidations count="2">
    <dataValidation type="whole" allowBlank="1" showInputMessage="1" showErrorMessage="1" sqref="L9:L12 L17:L20 L25:L28 L33:L36 L41:L44 L49:L52 L57:L60 L65:L68" xr:uid="{00000000-0002-0000-0000-000000000000}">
      <formula1>1</formula1>
      <formula2>4</formula2>
    </dataValidation>
    <dataValidation type="whole" operator="greaterThanOrEqual" allowBlank="1" showErrorMessage="1" sqref="H48:H53 J48:J53 H40:H45 J40:J45 H32:H37 J32:J37 H24:H29 J24:J29 H16:H21 J16:J21 J56:J61 H64:H69 J8:J13 H56:H61 H8:H13 J64:J69" xr:uid="{00000000-0002-0000-0000-000001000000}">
      <formula1>0</formula1>
    </dataValidation>
  </dataValidations>
  <printOptions horizontalCentered="1"/>
  <pageMargins left="0.35" right="0.28999999999999998" top="0.27" bottom="0.32" header="0.31" footer="0.23"/>
  <pageSetup paperSize="8" scale="89" orientation="portrait" r:id="rId1"/>
  <headerFooter alignWithMargins="0">
    <oddFooter xml:space="preserve">&amp;R&amp;"Tahoma,Standard"&amp;8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50"/>
  </sheetPr>
  <dimension ref="A1:T72"/>
  <sheetViews>
    <sheetView tabSelected="1" topLeftCell="A42" zoomScaleNormal="100" workbookViewId="0">
      <selection activeCell="F68" sqref="F68"/>
    </sheetView>
  </sheetViews>
  <sheetFormatPr baseColWidth="10" defaultColWidth="11.44140625" defaultRowHeight="10.199999999999999"/>
  <cols>
    <col min="1" max="1" width="4.88671875" style="1" customWidth="1"/>
    <col min="2" max="2" width="6.44140625" style="104" bestFit="1" customWidth="1"/>
    <col min="3" max="3" width="6.88671875" style="117" bestFit="1" customWidth="1"/>
    <col min="4" max="4" width="13.6640625" style="3" customWidth="1"/>
    <col min="5" max="5" width="19.5546875" style="1" customWidth="1"/>
    <col min="6" max="6" width="3.5546875" style="1" customWidth="1"/>
    <col min="7" max="7" width="1.5546875" style="1" bestFit="1" customWidth="1"/>
    <col min="8" max="8" width="3.5546875" style="1" customWidth="1"/>
    <col min="9" max="9" width="37.6640625" style="1" customWidth="1"/>
    <col min="10" max="10" width="19.109375" style="126" bestFit="1" customWidth="1"/>
    <col min="11" max="16384" width="11.44140625" style="1"/>
  </cols>
  <sheetData>
    <row r="1" spans="1:20" ht="67.5" customHeight="1">
      <c r="A1" s="135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spans="1:20" ht="31.5" customHeight="1" thickBot="1">
      <c r="A2" s="134"/>
      <c r="B2" s="129"/>
      <c r="C2" s="130"/>
      <c r="D2" s="128"/>
      <c r="E2" s="128"/>
      <c r="F2" s="128"/>
      <c r="G2" s="128"/>
      <c r="H2" s="128"/>
      <c r="I2" s="127"/>
      <c r="J2" s="128"/>
      <c r="K2" s="128"/>
      <c r="L2" s="128"/>
      <c r="M2" s="128"/>
      <c r="N2" s="127"/>
      <c r="O2" s="127"/>
      <c r="P2" s="132"/>
      <c r="Q2" s="127"/>
      <c r="R2" s="131"/>
      <c r="S2" s="127"/>
      <c r="T2" s="128"/>
    </row>
    <row r="3" spans="1:20" s="16" customFormat="1" ht="27" customHeight="1" thickBot="1">
      <c r="A3" s="147" t="s">
        <v>6</v>
      </c>
      <c r="B3" s="147"/>
      <c r="C3" s="147"/>
      <c r="D3" s="147"/>
      <c r="E3" s="147"/>
      <c r="F3" s="147"/>
      <c r="G3" s="147"/>
      <c r="H3" s="147"/>
      <c r="I3" s="147"/>
      <c r="J3" s="124"/>
      <c r="L3" s="17"/>
      <c r="M3" s="17"/>
      <c r="N3" s="18"/>
      <c r="O3" s="17"/>
      <c r="P3" s="19"/>
      <c r="Q3" s="17"/>
    </row>
    <row r="4" spans="1:20" s="16" customFormat="1" ht="27" customHeight="1">
      <c r="A4" s="154" t="s">
        <v>7</v>
      </c>
      <c r="B4" s="155"/>
      <c r="C4" s="155"/>
      <c r="D4" s="155"/>
      <c r="E4" s="155"/>
      <c r="F4" s="155"/>
      <c r="G4" s="155"/>
      <c r="H4" s="155"/>
      <c r="I4" s="155"/>
      <c r="J4" s="124"/>
      <c r="L4" s="17"/>
      <c r="M4" s="17"/>
      <c r="N4" s="18"/>
      <c r="O4" s="17"/>
      <c r="P4" s="19"/>
      <c r="Q4" s="17"/>
    </row>
    <row r="5" spans="1:20" s="11" customFormat="1" ht="12" customHeight="1">
      <c r="A5" s="23"/>
      <c r="B5" s="102"/>
      <c r="C5" s="116"/>
      <c r="D5" s="13"/>
      <c r="J5" s="123"/>
      <c r="L5" s="13"/>
      <c r="M5" s="13"/>
      <c r="N5" s="12"/>
      <c r="O5" s="13"/>
      <c r="P5" s="15"/>
      <c r="Q5" s="13"/>
    </row>
    <row r="6" spans="1:20" s="11" customFormat="1" ht="12" customHeight="1">
      <c r="A6" s="21" t="str">
        <f>Text!B87</f>
        <v>Spiel</v>
      </c>
      <c r="B6" s="103" t="str">
        <f>Text!B88</f>
        <v>Datum</v>
      </c>
      <c r="C6" s="118" t="s">
        <v>2</v>
      </c>
      <c r="D6" s="94" t="s">
        <v>3</v>
      </c>
      <c r="J6" s="123"/>
      <c r="M6" s="13"/>
      <c r="N6" s="13"/>
      <c r="O6" s="12"/>
      <c r="P6" s="13"/>
      <c r="Q6" s="15"/>
      <c r="R6" s="13"/>
    </row>
    <row r="7" spans="1:20" s="11" customFormat="1" ht="18" customHeight="1">
      <c r="A7" s="140" t="str">
        <f>Text!B78</f>
        <v>ACHTELFINALE</v>
      </c>
      <c r="B7" s="140"/>
      <c r="C7" s="140"/>
      <c r="D7" s="140"/>
      <c r="E7" s="140"/>
      <c r="F7" s="140"/>
      <c r="G7" s="140"/>
      <c r="H7" s="140"/>
      <c r="I7" s="140"/>
      <c r="J7" s="123" t="s">
        <v>8</v>
      </c>
      <c r="L7" s="13"/>
      <c r="M7" s="13"/>
      <c r="N7" s="12"/>
      <c r="O7" s="13"/>
      <c r="P7" s="15"/>
      <c r="Q7" s="13"/>
    </row>
    <row r="8" spans="1:20" s="11" customFormat="1" ht="12" customHeight="1">
      <c r="A8" s="15">
        <v>81</v>
      </c>
      <c r="B8" s="101" t="s">
        <v>4</v>
      </c>
      <c r="C8" s="116" t="s">
        <v>9</v>
      </c>
      <c r="D8" s="13">
        <v>1</v>
      </c>
      <c r="E8" s="22" t="str">
        <f>IF(Berechnung!W10,Vorrunde!M9,Text!B84 &amp; " " &amp; Text!B86 &amp;" A")</f>
        <v>TSV 1946 Bayerbach/Österreich</v>
      </c>
      <c r="F8" s="38">
        <v>3</v>
      </c>
      <c r="G8" s="13" t="s">
        <v>5</v>
      </c>
      <c r="H8" s="38">
        <v>5</v>
      </c>
      <c r="I8" s="24" t="str">
        <f>IF(Berechnung!W18,Vorrunde!M18,Text!B85 &amp; " " &amp; Text!B86 &amp;" B")</f>
        <v>TSV Pfaffenberg/Spanien</v>
      </c>
      <c r="J8" s="123"/>
    </row>
    <row r="9" spans="1:20" s="11" customFormat="1" ht="12" customHeight="1">
      <c r="A9" s="15">
        <v>82</v>
      </c>
      <c r="B9" s="101" t="s">
        <v>4</v>
      </c>
      <c r="C9" s="116" t="s">
        <v>9</v>
      </c>
      <c r="D9" s="13">
        <v>2</v>
      </c>
      <c r="E9" s="22" t="str">
        <f>IF(Berechnung!W26,Vorrunde!M25,Text!B84 &amp; " " &amp; Text!B86 &amp;" C")</f>
        <v>SC Buch am Erlbach/Kroatien</v>
      </c>
      <c r="F9" s="38">
        <v>1</v>
      </c>
      <c r="G9" s="13" t="s">
        <v>5</v>
      </c>
      <c r="H9" s="38">
        <v>2</v>
      </c>
      <c r="I9" s="24" t="str">
        <f>IF(Berechnung!W34,Vorrunde!M34,Text!B85 &amp; " " &amp; Text!B86 &amp;" D")</f>
        <v>TSV Vilsbiburg/Mexiko</v>
      </c>
      <c r="J9" s="123"/>
    </row>
    <row r="10" spans="1:20" s="11" customFormat="1" ht="12" customHeight="1">
      <c r="A10" s="15">
        <v>83</v>
      </c>
      <c r="B10" s="101" t="s">
        <v>4</v>
      </c>
      <c r="C10" s="116" t="s">
        <v>9</v>
      </c>
      <c r="D10" s="13">
        <v>3</v>
      </c>
      <c r="E10" s="22" t="str">
        <f>IF(Berechnung!W18,Vorrunde!M17,Text!B84 &amp; " " &amp; Text!B86 &amp;" B")</f>
        <v>TSV Rottenburg/Schottland</v>
      </c>
      <c r="F10" s="38">
        <v>2</v>
      </c>
      <c r="G10" s="13" t="s">
        <v>5</v>
      </c>
      <c r="H10" s="38">
        <v>0</v>
      </c>
      <c r="I10" s="24" t="str">
        <f>IF(Berechnung!W10,Vorrunde!M10,Text!B85 &amp; " " &amp; Text!B86 &amp;" A")</f>
        <v>FC Bonbruck/Bodenkirchen/Saudi-Arabien</v>
      </c>
      <c r="J10" s="123"/>
    </row>
    <row r="11" spans="1:20" s="11" customFormat="1" ht="12" customHeight="1">
      <c r="A11" s="15">
        <v>84</v>
      </c>
      <c r="B11" s="101" t="s">
        <v>4</v>
      </c>
      <c r="C11" s="116" t="s">
        <v>10</v>
      </c>
      <c r="D11" s="13">
        <v>1</v>
      </c>
      <c r="E11" s="22" t="str">
        <f>IF(Berechnung!W34,Vorrunde!M33,Text!B84 &amp; " " &amp; Text!B86 &amp;" D")</f>
        <v>SG Mallersdorf/Grafentraubach/Niederlande</v>
      </c>
      <c r="F11" s="38">
        <v>4</v>
      </c>
      <c r="G11" s="13" t="s">
        <v>5</v>
      </c>
      <c r="H11" s="38">
        <v>1</v>
      </c>
      <c r="I11" s="24" t="str">
        <f>IF(Berechnung!W26,Vorrunde!M26,Text!B85 &amp; " " &amp; Text!B86 &amp;" C")</f>
        <v>SG Aham/Gerzen/Portugal</v>
      </c>
      <c r="J11" s="123"/>
    </row>
    <row r="12" spans="1:20" s="11" customFormat="1" ht="12" customHeight="1">
      <c r="A12" s="15">
        <v>85</v>
      </c>
      <c r="B12" s="101" t="s">
        <v>4</v>
      </c>
      <c r="C12" s="116" t="s">
        <v>10</v>
      </c>
      <c r="D12" s="13">
        <v>2</v>
      </c>
      <c r="E12" s="22" t="str">
        <f>IF(Berechnung!W42,Vorrunde!M41,Text!B84 &amp; " " &amp; Text!B86 &amp;" E")</f>
        <v>SpVgg Landshut/Kanada</v>
      </c>
      <c r="F12" s="38">
        <v>5</v>
      </c>
      <c r="G12" s="13" t="s">
        <v>5</v>
      </c>
      <c r="H12" s="38">
        <v>0</v>
      </c>
      <c r="I12" s="24" t="str">
        <f>IF(Berechnung!W50,Vorrunde!M50,Text!B85 &amp; " " &amp; Text!B86 &amp;" F")</f>
        <v>TSV Altfraunhofen/Curacao</v>
      </c>
      <c r="J12" s="123"/>
    </row>
    <row r="13" spans="1:20" s="11" customFormat="1" ht="12" customHeight="1">
      <c r="A13" s="15">
        <v>86</v>
      </c>
      <c r="B13" s="101" t="s">
        <v>4</v>
      </c>
      <c r="C13" s="116" t="s">
        <v>10</v>
      </c>
      <c r="D13" s="13">
        <v>3</v>
      </c>
      <c r="E13" s="22" t="str">
        <f>IF(Berechnung!W58,Vorrunde!M57,Text!B84 &amp; " " &amp; Text!B86 &amp;" G")</f>
        <v>TSV Ergoldsbach/Neuseeland</v>
      </c>
      <c r="F13" s="38">
        <v>2</v>
      </c>
      <c r="G13" s="13" t="s">
        <v>5</v>
      </c>
      <c r="H13" s="38">
        <v>3</v>
      </c>
      <c r="I13" s="24" t="str">
        <f>IF(Berechnung!W66,Vorrunde!M66,Text!B85 &amp; " " &amp; Text!B86 &amp;" H")</f>
        <v>SV Oberglaim/Kolumbien</v>
      </c>
      <c r="J13" s="123"/>
    </row>
    <row r="14" spans="1:20" s="11" customFormat="1" ht="12" customHeight="1">
      <c r="A14" s="15">
        <v>87</v>
      </c>
      <c r="B14" s="101" t="s">
        <v>4</v>
      </c>
      <c r="C14" s="116" t="s">
        <v>11</v>
      </c>
      <c r="D14" s="13">
        <v>3</v>
      </c>
      <c r="E14" s="22" t="str">
        <f>IF(Berechnung!W50,Vorrunde!M49,Text!B84 &amp; " " &amp; Text!B86 &amp;" F")</f>
        <v>TSV Landshut-Auloh/Argentinien</v>
      </c>
      <c r="F14" s="38">
        <v>0</v>
      </c>
      <c r="G14" s="13" t="s">
        <v>5</v>
      </c>
      <c r="H14" s="38">
        <v>2</v>
      </c>
      <c r="I14" s="24" t="str">
        <f>IF(Berechnung!W42,Vorrunde!M42,Text!B85 &amp; " " &amp; Text!B86 &amp;" E")</f>
        <v>SV Wörth/Frankreich</v>
      </c>
      <c r="J14" s="123"/>
    </row>
    <row r="15" spans="1:20" s="11" customFormat="1" ht="12" customHeight="1">
      <c r="A15" s="15">
        <v>88</v>
      </c>
      <c r="B15" s="101" t="s">
        <v>4</v>
      </c>
      <c r="C15" s="116" t="s">
        <v>12</v>
      </c>
      <c r="D15" s="13">
        <v>2</v>
      </c>
      <c r="E15" s="22" t="str">
        <f>IF(Berechnung!W66,Vorrunde!M65,Text!B84 &amp; " " &amp; Text!B86 &amp;" H")</f>
        <v>VfR Laberweinting/USA</v>
      </c>
      <c r="F15" s="38">
        <v>5</v>
      </c>
      <c r="G15" s="13" t="s">
        <v>5</v>
      </c>
      <c r="H15" s="38">
        <v>1</v>
      </c>
      <c r="I15" s="24" t="str">
        <f>IF(Berechnung!W58,Vorrunde!M58,Text!B85 &amp; " " &amp; Text!B86 &amp;" G")</f>
        <v>DJK-SV Altdorf/Uruguay</v>
      </c>
      <c r="J15" s="123"/>
    </row>
    <row r="16" spans="1:20" s="11" customFormat="1" ht="12" customHeight="1">
      <c r="A16" s="15"/>
      <c r="B16" s="101"/>
      <c r="C16" s="116"/>
      <c r="D16" s="13"/>
      <c r="E16" s="22"/>
      <c r="F16" s="111"/>
      <c r="G16" s="13"/>
      <c r="H16" s="111"/>
      <c r="I16" s="24"/>
      <c r="J16" s="123"/>
    </row>
    <row r="17" spans="1:10" s="11" customFormat="1" ht="18" customHeight="1">
      <c r="A17" s="140" t="s">
        <v>13</v>
      </c>
      <c r="B17" s="140"/>
      <c r="C17" s="140"/>
      <c r="D17" s="140"/>
      <c r="E17" s="140"/>
      <c r="F17" s="140"/>
      <c r="G17" s="140"/>
      <c r="H17" s="140"/>
      <c r="I17" s="140"/>
      <c r="J17" s="123" t="s">
        <v>14</v>
      </c>
    </row>
    <row r="18" spans="1:10" s="11" customFormat="1" ht="12" customHeight="1">
      <c r="A18" s="15">
        <v>89</v>
      </c>
      <c r="B18" s="101" t="s">
        <v>15</v>
      </c>
      <c r="C18" s="116" t="s">
        <v>16</v>
      </c>
      <c r="D18" s="13">
        <v>3</v>
      </c>
      <c r="E18" s="22" t="str">
        <f>IF(F8&gt;H8,I8,IF(F8&lt;H8,E8,"Verlierer 81"))</f>
        <v>TSV 1946 Bayerbach/Österreich</v>
      </c>
      <c r="F18" s="38">
        <v>4</v>
      </c>
      <c r="G18" s="13" t="s">
        <v>5</v>
      </c>
      <c r="H18" s="38">
        <v>2</v>
      </c>
      <c r="I18" s="24" t="str">
        <f>IF(F9&gt;H9,I9,IF(F9&lt;H9,E9,"Verlierer 82"))</f>
        <v>SC Buch am Erlbach/Kroatien</v>
      </c>
      <c r="J18" s="123"/>
    </row>
    <row r="19" spans="1:10" s="11" customFormat="1" ht="12" customHeight="1">
      <c r="A19" s="15">
        <v>90</v>
      </c>
      <c r="B19" s="101" t="s">
        <v>15</v>
      </c>
      <c r="C19" s="116" t="s">
        <v>17</v>
      </c>
      <c r="D19" s="13">
        <v>1</v>
      </c>
      <c r="E19" s="22" t="str">
        <f>IF(F12&gt;H12,I12,IF(F12&lt;H12,E12,"Verlierer 85"))</f>
        <v>TSV Altfraunhofen/Curacao</v>
      </c>
      <c r="F19" s="38">
        <v>1</v>
      </c>
      <c r="G19" s="13" t="s">
        <v>5</v>
      </c>
      <c r="H19" s="38">
        <v>4</v>
      </c>
      <c r="I19" s="24" t="str">
        <f>IF(F13&gt;H13,I13,IF(F13&lt;H13,E13,"Verlierer 86"))</f>
        <v>TSV Ergoldsbach/Neuseeland</v>
      </c>
      <c r="J19" s="123"/>
    </row>
    <row r="20" spans="1:10" s="11" customFormat="1" ht="12" customHeight="1">
      <c r="A20" s="15">
        <v>91</v>
      </c>
      <c r="B20" s="101" t="s">
        <v>15</v>
      </c>
      <c r="C20" s="116" t="s">
        <v>17</v>
      </c>
      <c r="D20" s="13">
        <v>2</v>
      </c>
      <c r="E20" s="22" t="str">
        <f>IF(F14&gt;H14,I14,IF(F14&lt;H14,E14,"Verlierer 87"))</f>
        <v>TSV Landshut-Auloh/Argentinien</v>
      </c>
      <c r="F20" s="38">
        <v>0</v>
      </c>
      <c r="G20" s="13" t="s">
        <v>5</v>
      </c>
      <c r="H20" s="38">
        <v>3</v>
      </c>
      <c r="I20" s="24" t="str">
        <f>IF(F15&gt;H15,I15,IF(F15&lt;H15,E15,"Verlierer 88"))</f>
        <v>DJK-SV Altdorf/Uruguay</v>
      </c>
      <c r="J20" s="123"/>
    </row>
    <row r="21" spans="1:10" s="11" customFormat="1" ht="12" customHeight="1">
      <c r="A21" s="15">
        <v>92</v>
      </c>
      <c r="B21" s="101" t="s">
        <v>15</v>
      </c>
      <c r="C21" s="116" t="s">
        <v>18</v>
      </c>
      <c r="D21" s="13">
        <v>2</v>
      </c>
      <c r="E21" s="22" t="str">
        <f>IF(F10&gt;H10,I10,IF(F10&lt;H10,E10,"Verlierer 83"))</f>
        <v>FC Bonbruck/Bodenkirchen/Saudi-Arabien</v>
      </c>
      <c r="F21" s="38">
        <v>1</v>
      </c>
      <c r="G21" s="13" t="s">
        <v>5</v>
      </c>
      <c r="H21" s="38">
        <v>0</v>
      </c>
      <c r="I21" s="24" t="str">
        <f>IF(F11&gt;H11,I11,IF(F11&lt;H11,E11,"Verlierer 84"))</f>
        <v>SG Aham/Gerzen/Portugal</v>
      </c>
      <c r="J21" s="123"/>
    </row>
    <row r="22" spans="1:10" s="11" customFormat="1" ht="12" customHeight="1">
      <c r="B22" s="102"/>
      <c r="C22" s="116"/>
      <c r="D22" s="13"/>
      <c r="E22" s="22"/>
      <c r="J22" s="123"/>
    </row>
    <row r="23" spans="1:10" s="11" customFormat="1" ht="18" customHeight="1">
      <c r="A23" s="140" t="s">
        <v>19</v>
      </c>
      <c r="B23" s="140"/>
      <c r="C23" s="140"/>
      <c r="D23" s="140"/>
      <c r="E23" s="140"/>
      <c r="F23" s="140"/>
      <c r="G23" s="140"/>
      <c r="H23" s="140"/>
      <c r="I23" s="140"/>
      <c r="J23" s="123" t="s">
        <v>20</v>
      </c>
    </row>
    <row r="24" spans="1:10" s="11" customFormat="1" ht="12" customHeight="1">
      <c r="A24" s="15">
        <v>93</v>
      </c>
      <c r="B24" s="101" t="s">
        <v>15</v>
      </c>
      <c r="C24" s="116" t="s">
        <v>21</v>
      </c>
      <c r="D24" s="13">
        <v>1</v>
      </c>
      <c r="E24" s="22" t="str">
        <f>IF($F18&gt;$H18,$I18,IF($F18&lt;$H18,$E18,"Verlierer 89"))</f>
        <v>SC Buch am Erlbach/Kroatien</v>
      </c>
      <c r="F24" s="38">
        <v>2</v>
      </c>
      <c r="G24" s="13" t="s">
        <v>5</v>
      </c>
      <c r="H24" s="38">
        <v>0</v>
      </c>
      <c r="I24" s="24" t="str">
        <f>IF($F19&gt;$H19,$I19,IF($F19&lt;$H19,$E19,"Verlierer 90"))</f>
        <v>TSV Altfraunhofen/Curacao</v>
      </c>
      <c r="J24" s="123"/>
    </row>
    <row r="25" spans="1:10" s="11" customFormat="1" ht="12" customHeight="1">
      <c r="A25" s="15">
        <v>94</v>
      </c>
      <c r="B25" s="101" t="s">
        <v>15</v>
      </c>
      <c r="C25" s="116" t="s">
        <v>21</v>
      </c>
      <c r="D25" s="13">
        <v>2</v>
      </c>
      <c r="E25" s="22" t="str">
        <f>IF($F20&gt;$H20,$I20,IF($F20&lt;$H20,$E20,"Verlierer 91"))</f>
        <v>TSV Landshut-Auloh/Argentinien</v>
      </c>
      <c r="F25" s="38">
        <v>1</v>
      </c>
      <c r="G25" s="13" t="s">
        <v>5</v>
      </c>
      <c r="H25" s="38">
        <v>0</v>
      </c>
      <c r="I25" s="24" t="str">
        <f>IF($F21&gt;$H21,$I21,IF($F21&lt;$H21,$E21,"Verlierer 92"))</f>
        <v>SG Aham/Gerzen/Portugal</v>
      </c>
      <c r="J25" s="123"/>
    </row>
    <row r="26" spans="1:10" s="11" customFormat="1" ht="12" customHeight="1">
      <c r="B26" s="102"/>
      <c r="C26" s="116"/>
      <c r="D26" s="13"/>
      <c r="E26" s="22"/>
      <c r="J26" s="123"/>
    </row>
    <row r="27" spans="1:10" s="11" customFormat="1" ht="18" customHeight="1">
      <c r="A27" s="140" t="s">
        <v>22</v>
      </c>
      <c r="B27" s="140"/>
      <c r="C27" s="140"/>
      <c r="D27" s="140"/>
      <c r="E27" s="140"/>
      <c r="F27" s="140"/>
      <c r="G27" s="140"/>
      <c r="H27" s="140"/>
      <c r="I27" s="140"/>
      <c r="J27" s="123" t="s">
        <v>20</v>
      </c>
    </row>
    <row r="28" spans="1:10" s="11" customFormat="1" ht="12" customHeight="1">
      <c r="A28" s="15">
        <v>95</v>
      </c>
      <c r="B28" s="101" t="s">
        <v>15</v>
      </c>
      <c r="C28" s="116" t="s">
        <v>23</v>
      </c>
      <c r="D28" s="13">
        <v>3</v>
      </c>
      <c r="E28" s="22" t="str">
        <f>IF($F24&gt;$H24,$I24,IF($F24&lt;$H24,$E24,"Verlierer 93"))</f>
        <v>TSV Altfraunhofen/Curacao</v>
      </c>
      <c r="F28" s="38">
        <v>0</v>
      </c>
      <c r="G28" s="13" t="s">
        <v>5</v>
      </c>
      <c r="H28" s="38">
        <v>2</v>
      </c>
      <c r="I28" s="24" t="str">
        <f>IF($F25&gt;$H25,$I25,IF($F25&lt;$H25,$E25,"Verlierer 94"))</f>
        <v>SG Aham/Gerzen/Portugal</v>
      </c>
      <c r="J28" s="123"/>
    </row>
    <row r="29" spans="1:10" s="11" customFormat="1" ht="12" customHeight="1">
      <c r="B29" s="102"/>
      <c r="C29" s="116"/>
      <c r="D29" s="13"/>
      <c r="E29" s="22"/>
      <c r="J29" s="123"/>
    </row>
    <row r="30" spans="1:10" s="11" customFormat="1" ht="18" customHeight="1">
      <c r="A30" s="140" t="s">
        <v>24</v>
      </c>
      <c r="B30" s="140"/>
      <c r="C30" s="140"/>
      <c r="D30" s="140"/>
      <c r="E30" s="140"/>
      <c r="F30" s="140"/>
      <c r="G30" s="140"/>
      <c r="H30" s="140"/>
      <c r="I30" s="140"/>
      <c r="J30" s="123" t="s">
        <v>20</v>
      </c>
    </row>
    <row r="31" spans="1:10" s="11" customFormat="1" ht="12" customHeight="1">
      <c r="A31" s="15">
        <v>96</v>
      </c>
      <c r="B31" s="101" t="s">
        <v>15</v>
      </c>
      <c r="C31" s="116" t="s">
        <v>25</v>
      </c>
      <c r="D31" s="13">
        <v>1</v>
      </c>
      <c r="E31" s="22" t="str">
        <f>IF($F24&lt;$H24,$I24,IF($F24&gt;$H24,$E24,"Sieger 93"))</f>
        <v>SC Buch am Erlbach/Kroatien</v>
      </c>
      <c r="F31" s="38">
        <v>4</v>
      </c>
      <c r="G31" s="13" t="s">
        <v>5</v>
      </c>
      <c r="H31" s="38">
        <v>0</v>
      </c>
      <c r="I31" s="24" t="str">
        <f>IF($F25&lt;$H25,$I25,IF($F25&gt;$H25,$E25,"Sieger 94"))</f>
        <v>TSV Landshut-Auloh/Argentinien</v>
      </c>
      <c r="J31" s="123"/>
    </row>
    <row r="32" spans="1:10" s="11" customFormat="1" ht="12" customHeight="1">
      <c r="B32" s="102"/>
      <c r="C32" s="116"/>
      <c r="D32" s="13"/>
      <c r="E32" s="22"/>
      <c r="J32" s="123"/>
    </row>
    <row r="33" spans="1:10" s="11" customFormat="1" ht="18" customHeight="1">
      <c r="A33" s="140" t="s">
        <v>26</v>
      </c>
      <c r="B33" s="140"/>
      <c r="C33" s="140"/>
      <c r="D33" s="140"/>
      <c r="E33" s="140"/>
      <c r="F33" s="140"/>
      <c r="G33" s="140"/>
      <c r="H33" s="140"/>
      <c r="I33" s="140"/>
      <c r="J33" s="123" t="s">
        <v>20</v>
      </c>
    </row>
    <row r="34" spans="1:10" s="11" customFormat="1" ht="12" customHeight="1">
      <c r="A34" s="15">
        <v>97</v>
      </c>
      <c r="B34" s="101" t="s">
        <v>15</v>
      </c>
      <c r="C34" s="116" t="s">
        <v>25</v>
      </c>
      <c r="D34" s="13">
        <v>2</v>
      </c>
      <c r="E34" s="22" t="str">
        <f>IF($F18&lt;$H18,$I18,IF($F18&gt;$H18,$E18,"Sieger 89"))</f>
        <v>TSV 1946 Bayerbach/Österreich</v>
      </c>
      <c r="F34" s="38">
        <v>0</v>
      </c>
      <c r="G34" s="13" t="s">
        <v>5</v>
      </c>
      <c r="H34" s="38">
        <v>1</v>
      </c>
      <c r="I34" s="24" t="str">
        <f>IF($F19&lt;$H19,$I19,IF($F19&gt;$H19,$E19,"Sieger 90"))</f>
        <v>TSV Ergoldsbach/Neuseeland</v>
      </c>
      <c r="J34" s="123"/>
    </row>
    <row r="35" spans="1:10" s="11" customFormat="1" ht="12" customHeight="1">
      <c r="A35" s="15">
        <v>98</v>
      </c>
      <c r="B35" s="101" t="s">
        <v>15</v>
      </c>
      <c r="C35" s="116" t="s">
        <v>25</v>
      </c>
      <c r="D35" s="13">
        <v>3</v>
      </c>
      <c r="E35" s="22" t="str">
        <f>IF($F20&lt;$H20,$I20,IF($F20&gt;$H20,$E20,"Sieger 91"))</f>
        <v>DJK-SV Altdorf/Uruguay</v>
      </c>
      <c r="F35" s="38">
        <v>3</v>
      </c>
      <c r="G35" s="13" t="s">
        <v>5</v>
      </c>
      <c r="H35" s="38">
        <v>0</v>
      </c>
      <c r="I35" s="24" t="str">
        <f>IF($F21&lt;$H21,$I21,IF($F21&gt;$H21,$E21,"Sieger 92"))</f>
        <v>FC Bonbruck/Bodenkirchen/Saudi-Arabien</v>
      </c>
      <c r="J35" s="123"/>
    </row>
    <row r="36" spans="1:10" s="11" customFormat="1" ht="12" customHeight="1">
      <c r="B36" s="102"/>
      <c r="C36" s="116"/>
      <c r="D36" s="13"/>
      <c r="E36" s="22"/>
      <c r="J36" s="123"/>
    </row>
    <row r="37" spans="1:10" s="11" customFormat="1" ht="18" customHeight="1">
      <c r="A37" s="140" t="s">
        <v>27</v>
      </c>
      <c r="B37" s="140"/>
      <c r="C37" s="140"/>
      <c r="D37" s="140"/>
      <c r="E37" s="140"/>
      <c r="F37" s="140"/>
      <c r="G37" s="140"/>
      <c r="H37" s="140"/>
      <c r="I37" s="140"/>
      <c r="J37" s="123" t="s">
        <v>20</v>
      </c>
    </row>
    <row r="38" spans="1:10" s="11" customFormat="1" ht="12" customHeight="1">
      <c r="A38" s="15">
        <v>99</v>
      </c>
      <c r="B38" s="101" t="s">
        <v>15</v>
      </c>
      <c r="C38" s="116" t="s">
        <v>28</v>
      </c>
      <c r="D38" s="13">
        <v>3</v>
      </c>
      <c r="E38" s="22" t="str">
        <f>IF($F34&gt;$H34,$I34,IF($F34&lt;$H34,$E34,"Verlierer 97"))</f>
        <v>TSV 1946 Bayerbach/Österreich</v>
      </c>
      <c r="F38" s="38">
        <v>2</v>
      </c>
      <c r="G38" s="13" t="s">
        <v>5</v>
      </c>
      <c r="H38" s="38">
        <v>1</v>
      </c>
      <c r="I38" s="24" t="str">
        <f>IF($F35&gt;$H35,$I35,IF($F35&lt;$H35,$E35,"Verlierer 98"))</f>
        <v>FC Bonbruck/Bodenkirchen/Saudi-Arabien</v>
      </c>
      <c r="J38" s="123"/>
    </row>
    <row r="39" spans="1:10" s="11" customFormat="1" ht="12" customHeight="1">
      <c r="B39" s="102"/>
      <c r="C39" s="116"/>
      <c r="D39" s="13"/>
      <c r="E39" s="22"/>
      <c r="J39" s="123"/>
    </row>
    <row r="40" spans="1:10" s="11" customFormat="1" ht="18" customHeight="1">
      <c r="A40" s="140" t="s">
        <v>29</v>
      </c>
      <c r="B40" s="140"/>
      <c r="C40" s="140"/>
      <c r="D40" s="140"/>
      <c r="E40" s="140"/>
      <c r="F40" s="140"/>
      <c r="G40" s="140"/>
      <c r="H40" s="140"/>
      <c r="I40" s="140"/>
      <c r="J40" s="123" t="s">
        <v>20</v>
      </c>
    </row>
    <row r="41" spans="1:10" s="11" customFormat="1" ht="12" customHeight="1">
      <c r="A41" s="15">
        <v>100</v>
      </c>
      <c r="B41" s="101" t="s">
        <v>15</v>
      </c>
      <c r="C41" s="116" t="s">
        <v>30</v>
      </c>
      <c r="D41" s="13">
        <v>1</v>
      </c>
      <c r="E41" s="22" t="str">
        <f>IF($F34&lt;$H34,$I34,IF($F34&gt;$H34,$E34,"Sieger 97"))</f>
        <v>TSV Ergoldsbach/Neuseeland</v>
      </c>
      <c r="F41" s="38">
        <v>0</v>
      </c>
      <c r="G41" s="13" t="s">
        <v>5</v>
      </c>
      <c r="H41" s="38">
        <v>1</v>
      </c>
      <c r="I41" s="24" t="str">
        <f>IF($F35&lt;$H35,$I35,IF($F35&gt;$H35,$E35,"Sieger 98"))</f>
        <v>DJK-SV Altdorf/Uruguay</v>
      </c>
      <c r="J41" s="123"/>
    </row>
    <row r="42" spans="1:10" s="11" customFormat="1" ht="12" customHeight="1">
      <c r="B42" s="102"/>
      <c r="C42" s="116"/>
      <c r="D42" s="13"/>
      <c r="E42" s="22"/>
      <c r="J42" s="123"/>
    </row>
    <row r="43" spans="1:10" s="11" customFormat="1" ht="18" customHeight="1">
      <c r="A43" s="140" t="str">
        <f>Text!B79</f>
        <v>VIERTELFINALE</v>
      </c>
      <c r="B43" s="140"/>
      <c r="C43" s="140"/>
      <c r="D43" s="140"/>
      <c r="E43" s="140"/>
      <c r="F43" s="140"/>
      <c r="G43" s="140"/>
      <c r="H43" s="140"/>
      <c r="I43" s="140"/>
      <c r="J43" s="123" t="s">
        <v>14</v>
      </c>
    </row>
    <row r="44" spans="1:10" s="11" customFormat="1" ht="12" customHeight="1">
      <c r="A44" s="15">
        <v>101</v>
      </c>
      <c r="B44" s="101" t="s">
        <v>15</v>
      </c>
      <c r="C44" s="116" t="s">
        <v>31</v>
      </c>
      <c r="D44" s="13">
        <v>3</v>
      </c>
      <c r="E44" s="22" t="str">
        <f>IF(F8&lt;H8,I8,IF(F8&gt;H8,E8,"Sieger 81"))</f>
        <v>TSV Pfaffenberg/Spanien</v>
      </c>
      <c r="F44" s="38">
        <v>0</v>
      </c>
      <c r="G44" s="13" t="s">
        <v>5</v>
      </c>
      <c r="H44" s="38">
        <v>3</v>
      </c>
      <c r="I44" s="24" t="str">
        <f>IF(F9&lt;H9,I9,IF(F9&gt;H9,E9,"Sieger 82"))</f>
        <v>TSV Vilsbiburg/Mexiko</v>
      </c>
      <c r="J44" s="123"/>
    </row>
    <row r="45" spans="1:10" s="11" customFormat="1" ht="12" customHeight="1">
      <c r="A45" s="15">
        <v>102</v>
      </c>
      <c r="B45" s="101" t="s">
        <v>15</v>
      </c>
      <c r="C45" s="116" t="s">
        <v>31</v>
      </c>
      <c r="D45" s="13">
        <v>2</v>
      </c>
      <c r="E45" s="22" t="str">
        <f>IF(F12&lt;H12,I12,IF(F12&gt;H12,E12,"Sieger 85"))</f>
        <v>SpVgg Landshut/Kanada</v>
      </c>
      <c r="F45" s="39">
        <v>5</v>
      </c>
      <c r="G45" s="13" t="s">
        <v>5</v>
      </c>
      <c r="H45" s="39">
        <v>0</v>
      </c>
      <c r="I45" s="24" t="str">
        <f>IF(F13&lt;H13,I13,IF(F13&gt;H13,E13,"Sieger 86"))</f>
        <v>SV Oberglaim/Kolumbien</v>
      </c>
      <c r="J45" s="123"/>
    </row>
    <row r="46" spans="1:10" s="11" customFormat="1" ht="12" customHeight="1">
      <c r="A46" s="15">
        <v>103</v>
      </c>
      <c r="B46" s="101" t="s">
        <v>15</v>
      </c>
      <c r="C46" s="116" t="s">
        <v>32</v>
      </c>
      <c r="D46" s="13">
        <v>1</v>
      </c>
      <c r="E46" s="22" t="str">
        <f>IF(F14&lt;H14,I14,IF(F14&gt;H14,E14,"Sieger 87"))</f>
        <v>SV Wörth/Frankreich</v>
      </c>
      <c r="F46" s="39">
        <v>2</v>
      </c>
      <c r="G46" s="13" t="s">
        <v>5</v>
      </c>
      <c r="H46" s="39">
        <v>4</v>
      </c>
      <c r="I46" s="24" t="str">
        <f>IF(F15&lt;H15,I15,IF(F15&gt;H15,E15,"Sieger 88"))</f>
        <v>VfR Laberweinting/USA</v>
      </c>
      <c r="J46" s="123"/>
    </row>
    <row r="47" spans="1:10" s="11" customFormat="1" ht="12" customHeight="1">
      <c r="A47" s="15">
        <v>104</v>
      </c>
      <c r="B47" s="101" t="s">
        <v>15</v>
      </c>
      <c r="C47" s="116" t="s">
        <v>33</v>
      </c>
      <c r="D47" s="13">
        <v>2</v>
      </c>
      <c r="E47" s="22" t="str">
        <f>IF(F10&lt;H10,I10,IF(F10&gt;H10,E10,"Sieger 83"))</f>
        <v>TSV Rottenburg/Schottland</v>
      </c>
      <c r="F47" s="39">
        <v>1</v>
      </c>
      <c r="G47" s="13" t="s">
        <v>5</v>
      </c>
      <c r="H47" s="39">
        <v>2</v>
      </c>
      <c r="I47" s="24" t="str">
        <f>IF(F11&lt;H11,I11,IF(F11&gt;H11,E11,"Sieger 84"))</f>
        <v>SG Mallersdorf/Grafentraubach/Niederlande</v>
      </c>
      <c r="J47" s="123"/>
    </row>
    <row r="48" spans="1:10" s="11" customFormat="1" ht="12" customHeight="1">
      <c r="A48" s="15"/>
      <c r="B48" s="101"/>
      <c r="C48" s="116"/>
      <c r="D48" s="13"/>
      <c r="E48" s="22"/>
      <c r="F48" s="111"/>
      <c r="G48" s="13"/>
      <c r="H48" s="111"/>
      <c r="I48" s="24"/>
      <c r="J48" s="123"/>
    </row>
    <row r="49" spans="1:10" s="11" customFormat="1" ht="18" customHeight="1">
      <c r="A49" s="140" t="s">
        <v>34</v>
      </c>
      <c r="B49" s="140"/>
      <c r="C49" s="140"/>
      <c r="D49" s="140"/>
      <c r="E49" s="140"/>
      <c r="F49" s="140"/>
      <c r="G49" s="140"/>
      <c r="H49" s="140"/>
      <c r="I49" s="140"/>
      <c r="J49" s="123" t="s">
        <v>20</v>
      </c>
    </row>
    <row r="50" spans="1:10" s="11" customFormat="1" ht="12" customHeight="1">
      <c r="A50" s="15">
        <v>105</v>
      </c>
      <c r="B50" s="101" t="s">
        <v>15</v>
      </c>
      <c r="C50" s="116" t="s">
        <v>33</v>
      </c>
      <c r="D50" s="13">
        <v>3</v>
      </c>
      <c r="E50" s="22" t="str">
        <f>IF($F44&gt;$H44,$I44,IF($F44&lt;$H44,$E44,"Verlierer 101"))</f>
        <v>TSV Pfaffenberg/Spanien</v>
      </c>
      <c r="F50" s="38">
        <v>3</v>
      </c>
      <c r="G50" s="13" t="s">
        <v>5</v>
      </c>
      <c r="H50" s="38">
        <v>4</v>
      </c>
      <c r="I50" s="24" t="str">
        <f>IF($F45&gt;$H45,$I45,IF($F45&lt;$H45,$E45,"Verlierer 102"))</f>
        <v>SV Oberglaim/Kolumbien</v>
      </c>
      <c r="J50" s="123"/>
    </row>
    <row r="51" spans="1:10" s="11" customFormat="1" ht="12" customHeight="1">
      <c r="A51" s="15">
        <v>106</v>
      </c>
      <c r="B51" s="101" t="s">
        <v>15</v>
      </c>
      <c r="C51" s="116" t="s">
        <v>35</v>
      </c>
      <c r="D51" s="13">
        <v>2</v>
      </c>
      <c r="E51" s="22" t="str">
        <f>IF($F46&gt;$H46,$I46,IF($F46&lt;$H46,$E46,"Verlierer 103"))</f>
        <v>SV Wörth/Frankreich</v>
      </c>
      <c r="F51" s="38">
        <v>0</v>
      </c>
      <c r="G51" s="13" t="s">
        <v>5</v>
      </c>
      <c r="H51" s="38">
        <v>3</v>
      </c>
      <c r="I51" s="24" t="str">
        <f>IF($F47&gt;$H47,$I47,IF($F47&lt;$H47,$E47,"Verlierer 104"))</f>
        <v>TSV Rottenburg/Schottland</v>
      </c>
      <c r="J51" s="123"/>
    </row>
    <row r="52" spans="1:10" s="11" customFormat="1" ht="12" customHeight="1">
      <c r="A52" s="15"/>
      <c r="B52" s="101"/>
      <c r="C52" s="116"/>
      <c r="D52" s="13"/>
      <c r="E52" s="22"/>
      <c r="F52" s="111"/>
      <c r="G52" s="13"/>
      <c r="H52" s="111"/>
      <c r="I52" s="24"/>
      <c r="J52" s="123"/>
    </row>
    <row r="53" spans="1:10" s="11" customFormat="1" ht="18" customHeight="1">
      <c r="A53" s="140" t="s">
        <v>36</v>
      </c>
      <c r="B53" s="140"/>
      <c r="C53" s="140"/>
      <c r="D53" s="140"/>
      <c r="E53" s="140"/>
      <c r="F53" s="140"/>
      <c r="G53" s="140"/>
      <c r="H53" s="140"/>
      <c r="I53" s="140"/>
      <c r="J53" s="123" t="s">
        <v>20</v>
      </c>
    </row>
    <row r="54" spans="1:10" s="11" customFormat="1" ht="12" customHeight="1">
      <c r="A54" s="15">
        <v>107</v>
      </c>
      <c r="B54" s="101" t="s">
        <v>15</v>
      </c>
      <c r="C54" s="116" t="s">
        <v>37</v>
      </c>
      <c r="D54" s="13">
        <v>1</v>
      </c>
      <c r="E54" s="22" t="str">
        <f>IF($F50&gt;$H50,$I50,IF($F50&lt;$H50,$E50,"Verlierer 105"))</f>
        <v>TSV Pfaffenberg/Spanien</v>
      </c>
      <c r="F54" s="38">
        <v>1</v>
      </c>
      <c r="G54" s="13" t="s">
        <v>5</v>
      </c>
      <c r="H54" s="38">
        <v>3</v>
      </c>
      <c r="I54" s="24" t="str">
        <f>IF($F51&gt;$H51,$I51,IF($F51&lt;$H51,$E51,"Verlierer 106"))</f>
        <v>SV Wörth/Frankreich</v>
      </c>
      <c r="J54" s="123"/>
    </row>
    <row r="55" spans="1:10" s="11" customFormat="1" ht="12" customHeight="1">
      <c r="A55" s="15"/>
      <c r="B55" s="102"/>
      <c r="C55" s="116"/>
      <c r="D55" s="13"/>
      <c r="E55" s="22"/>
      <c r="I55" s="24"/>
      <c r="J55" s="123"/>
    </row>
    <row r="56" spans="1:10" s="11" customFormat="1" ht="18" customHeight="1">
      <c r="A56" s="140" t="s">
        <v>38</v>
      </c>
      <c r="B56" s="140"/>
      <c r="C56" s="140"/>
      <c r="D56" s="140"/>
      <c r="E56" s="140"/>
      <c r="F56" s="140"/>
      <c r="G56" s="140"/>
      <c r="H56" s="140"/>
      <c r="I56" s="140"/>
      <c r="J56" s="123" t="s">
        <v>20</v>
      </c>
    </row>
    <row r="57" spans="1:10" s="11" customFormat="1" ht="12" customHeight="1">
      <c r="A57" s="15">
        <v>108</v>
      </c>
      <c r="B57" s="101" t="s">
        <v>15</v>
      </c>
      <c r="C57" s="116" t="s">
        <v>37</v>
      </c>
      <c r="D57" s="13">
        <v>2</v>
      </c>
      <c r="E57" s="22" t="str">
        <f>IF($F50&lt;$H50,$I50,IF($F50&gt;$H50,$E50,"Sieger 105"))</f>
        <v>SV Oberglaim/Kolumbien</v>
      </c>
      <c r="F57" s="38">
        <v>4</v>
      </c>
      <c r="G57" s="13" t="s">
        <v>5</v>
      </c>
      <c r="H57" s="38">
        <v>3</v>
      </c>
      <c r="I57" s="24" t="str">
        <f>IF($F51&lt;$H51,$I51,IF($F51&gt;$H51,$E51,"Sieger 106"))</f>
        <v>TSV Rottenburg/Schottland</v>
      </c>
      <c r="J57" s="123"/>
    </row>
    <row r="58" spans="1:10" s="11" customFormat="1" ht="12" customHeight="1">
      <c r="A58" s="15"/>
      <c r="B58" s="102"/>
      <c r="C58" s="116"/>
      <c r="D58" s="13"/>
      <c r="E58" s="22"/>
      <c r="I58" s="24"/>
      <c r="J58" s="123"/>
    </row>
    <row r="59" spans="1:10" s="11" customFormat="1" ht="18" customHeight="1">
      <c r="A59" s="140" t="str">
        <f>Text!B80</f>
        <v>HALBFINALE</v>
      </c>
      <c r="B59" s="140"/>
      <c r="C59" s="140"/>
      <c r="D59" s="140"/>
      <c r="E59" s="140"/>
      <c r="F59" s="140"/>
      <c r="G59" s="140"/>
      <c r="H59" s="140"/>
      <c r="I59" s="140"/>
      <c r="J59" s="123" t="s">
        <v>20</v>
      </c>
    </row>
    <row r="60" spans="1:10" s="11" customFormat="1" ht="12" customHeight="1">
      <c r="A60" s="15">
        <v>109</v>
      </c>
      <c r="B60" s="101" t="s">
        <v>15</v>
      </c>
      <c r="C60" s="116" t="s">
        <v>39</v>
      </c>
      <c r="D60" s="13">
        <v>1</v>
      </c>
      <c r="E60" s="22" t="str">
        <f>IF($F44&lt;$H44,$I44,IF($F44&gt;$H44,$E44,"Sieger 101"))</f>
        <v>TSV Vilsbiburg/Mexiko</v>
      </c>
      <c r="F60" s="38">
        <v>0</v>
      </c>
      <c r="G60" s="13" t="s">
        <v>5</v>
      </c>
      <c r="H60" s="38">
        <v>4</v>
      </c>
      <c r="I60" s="24" t="str">
        <f>IF($F45&lt;$H45,$I45,IF($F45&gt;$H45,$E45,"Sieger 102"))</f>
        <v>SpVgg Landshut/Kanada</v>
      </c>
      <c r="J60" s="123"/>
    </row>
    <row r="61" spans="1:10" s="11" customFormat="1" ht="12" customHeight="1">
      <c r="A61" s="15">
        <v>110</v>
      </c>
      <c r="B61" s="101" t="s">
        <v>15</v>
      </c>
      <c r="C61" s="116" t="s">
        <v>39</v>
      </c>
      <c r="D61" s="13">
        <v>2</v>
      </c>
      <c r="E61" s="22" t="str">
        <f>IF($F46&lt;$H46,$I46,IF($F46&gt;$H46,$E46,"Sieger 103"))</f>
        <v>VfR Laberweinting/USA</v>
      </c>
      <c r="F61" s="39">
        <v>2</v>
      </c>
      <c r="G61" s="13" t="s">
        <v>5</v>
      </c>
      <c r="H61" s="39">
        <v>4</v>
      </c>
      <c r="I61" s="24" t="str">
        <f>IF($F47&lt;$H47,$I47,IF($F47&gt;$H47,$E47,"Sieger 104"))</f>
        <v>SG Mallersdorf/Grafentraubach/Niederlande</v>
      </c>
      <c r="J61" s="123"/>
    </row>
    <row r="62" spans="1:10" s="11" customFormat="1" ht="12" customHeight="1">
      <c r="B62" s="102"/>
      <c r="C62" s="116"/>
      <c r="D62" s="13"/>
      <c r="J62" s="123"/>
    </row>
    <row r="63" spans="1:10" s="11" customFormat="1" ht="18" customHeight="1">
      <c r="A63" s="140" t="s">
        <v>40</v>
      </c>
      <c r="B63" s="140"/>
      <c r="C63" s="140"/>
      <c r="D63" s="140"/>
      <c r="E63" s="140"/>
      <c r="F63" s="140"/>
      <c r="G63" s="140"/>
      <c r="H63" s="140"/>
      <c r="I63" s="140"/>
      <c r="J63" s="123"/>
    </row>
    <row r="64" spans="1:10" s="11" customFormat="1" ht="12" customHeight="1">
      <c r="A64" s="15">
        <v>111</v>
      </c>
      <c r="B64" s="101" t="s">
        <v>15</v>
      </c>
      <c r="C64" s="116" t="s">
        <v>41</v>
      </c>
      <c r="D64" s="13">
        <v>3</v>
      </c>
      <c r="E64" s="22" t="str">
        <f>IF($F60&gt;$H60,$I60,IF($F60&lt;$H60,$E60,"Verlierer 109"))</f>
        <v>TSV Vilsbiburg/Mexiko</v>
      </c>
      <c r="F64" s="38">
        <v>2</v>
      </c>
      <c r="G64" s="13" t="s">
        <v>5</v>
      </c>
      <c r="H64" s="38">
        <v>3</v>
      </c>
      <c r="I64" s="24" t="str">
        <f>IF($F61&gt;$H61,$I61,IF($F61&lt;$H61,$E61,"Verlierer 110"))</f>
        <v>VfR Laberweinting/USA</v>
      </c>
      <c r="J64" s="123"/>
    </row>
    <row r="65" spans="1:10" s="11" customFormat="1" ht="12" customHeight="1">
      <c r="B65" s="102"/>
      <c r="C65" s="116"/>
      <c r="D65" s="13"/>
      <c r="J65" s="123"/>
    </row>
    <row r="66" spans="1:10" s="11" customFormat="1" ht="18" customHeight="1">
      <c r="A66" s="140" t="str">
        <f>Text!B82</f>
        <v>FINALE</v>
      </c>
      <c r="B66" s="140"/>
      <c r="C66" s="140"/>
      <c r="D66" s="140"/>
      <c r="E66" s="140"/>
      <c r="F66" s="140"/>
      <c r="G66" s="140"/>
      <c r="H66" s="140"/>
      <c r="I66" s="140"/>
      <c r="J66" s="123"/>
    </row>
    <row r="67" spans="1:10" s="11" customFormat="1" ht="12" customHeight="1">
      <c r="A67" s="15">
        <v>112</v>
      </c>
      <c r="B67" s="101" t="s">
        <v>15</v>
      </c>
      <c r="C67" s="116" t="s">
        <v>42</v>
      </c>
      <c r="D67" s="13">
        <v>1</v>
      </c>
      <c r="E67" s="22" t="str">
        <f>IF($F60&lt;$H60,$I60,IF($F60&gt;$H60,$E60,"Sieger 109"))</f>
        <v>SpVgg Landshut/Kanada</v>
      </c>
      <c r="F67" s="38">
        <v>3</v>
      </c>
      <c r="G67" s="13" t="s">
        <v>5</v>
      </c>
      <c r="H67" s="38">
        <v>0</v>
      </c>
      <c r="I67" s="24" t="str">
        <f>IF($F61&lt;$H61,$I61,IF($F61&gt;$H61,$E61,"Sieger 110"))</f>
        <v>SG Mallersdorf/Grafentraubach/Niederlande</v>
      </c>
      <c r="J67" s="123"/>
    </row>
    <row r="68" spans="1:10" s="11" customFormat="1" ht="12" customHeight="1">
      <c r="B68" s="102"/>
      <c r="C68" s="116"/>
      <c r="D68" s="13"/>
      <c r="J68" s="123"/>
    </row>
    <row r="69" spans="1:10" s="20" customFormat="1" ht="15.9" customHeight="1">
      <c r="A69" s="141" t="str">
        <f>Text!B83</f>
        <v>Meister der Sparkassen Mini-WM 2026</v>
      </c>
      <c r="B69" s="142"/>
      <c r="C69" s="142"/>
      <c r="D69" s="142"/>
      <c r="E69" s="142"/>
      <c r="F69" s="142"/>
      <c r="G69" s="142"/>
      <c r="H69" s="142"/>
      <c r="I69" s="143"/>
      <c r="J69" s="125"/>
    </row>
    <row r="70" spans="1:10" s="20" customFormat="1" ht="15.9" customHeight="1">
      <c r="A70" s="144"/>
      <c r="B70" s="145"/>
      <c r="C70" s="145"/>
      <c r="D70" s="145"/>
      <c r="E70" s="145"/>
      <c r="F70" s="145"/>
      <c r="G70" s="145"/>
      <c r="H70" s="145"/>
      <c r="I70" s="146"/>
      <c r="J70" s="125"/>
    </row>
    <row r="71" spans="1:10" s="20" customFormat="1" ht="15.9" customHeight="1">
      <c r="A71" s="148" t="str">
        <f>IF(OR(ISBLANK(F67),ISBLANK(H67)),"",IF(F67&gt;H67,E67,I67))</f>
        <v>SpVgg Landshut/Kanada</v>
      </c>
      <c r="B71" s="149"/>
      <c r="C71" s="149"/>
      <c r="D71" s="149"/>
      <c r="E71" s="149"/>
      <c r="F71" s="149"/>
      <c r="G71" s="149"/>
      <c r="H71" s="149"/>
      <c r="I71" s="150"/>
      <c r="J71" s="125"/>
    </row>
    <row r="72" spans="1:10" s="20" customFormat="1" ht="45" customHeight="1">
      <c r="A72" s="151"/>
      <c r="B72" s="152"/>
      <c r="C72" s="152"/>
      <c r="D72" s="152"/>
      <c r="E72" s="152"/>
      <c r="F72" s="152"/>
      <c r="G72" s="152"/>
      <c r="H72" s="152"/>
      <c r="I72" s="153"/>
      <c r="J72" s="125"/>
    </row>
  </sheetData>
  <sheetProtection selectLockedCells="1"/>
  <mergeCells count="19">
    <mergeCell ref="A27:I27"/>
    <mergeCell ref="A30:I30"/>
    <mergeCell ref="A33:I33"/>
    <mergeCell ref="A66:I66"/>
    <mergeCell ref="A69:I70"/>
    <mergeCell ref="A3:I3"/>
    <mergeCell ref="A71:I72"/>
    <mergeCell ref="A63:I63"/>
    <mergeCell ref="A4:I4"/>
    <mergeCell ref="A7:I7"/>
    <mergeCell ref="A43:I43"/>
    <mergeCell ref="A59:I59"/>
    <mergeCell ref="A17:I17"/>
    <mergeCell ref="A53:I53"/>
    <mergeCell ref="A56:I56"/>
    <mergeCell ref="A37:I37"/>
    <mergeCell ref="A40:I40"/>
    <mergeCell ref="A49:I49"/>
    <mergeCell ref="A23:I23"/>
  </mergeCells>
  <phoneticPr fontId="0" type="noConversion"/>
  <dataValidations count="1">
    <dataValidation type="whole" operator="greaterThanOrEqual" allowBlank="1" showErrorMessage="1" sqref="F67 H44:H48 F60:F61 H8:H16 F44:F48 H52 F52 H67 H64 F64 H60:H61 F8:F16" xr:uid="{00000000-0002-0000-0200-000000000000}">
      <formula1>0</formula1>
    </dataValidation>
  </dataValidations>
  <printOptions horizontalCentered="1"/>
  <pageMargins left="0.23" right="0.27" top="0.19" bottom="0.28000000000000003" header="0.26" footer="0.25"/>
  <pageSetup paperSize="8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50"/>
    <pageSetUpPr fitToPage="1"/>
  </sheetPr>
  <dimension ref="A1:S72"/>
  <sheetViews>
    <sheetView topLeftCell="A44" zoomScaleNormal="100" workbookViewId="0">
      <selection activeCell="J69" sqref="J69"/>
    </sheetView>
  </sheetViews>
  <sheetFormatPr baseColWidth="10" defaultColWidth="11.44140625" defaultRowHeight="10.199999999999999"/>
  <cols>
    <col min="1" max="1" width="4.88671875" style="1" bestFit="1" customWidth="1"/>
    <col min="2" max="2" width="6.44140625" style="104" bestFit="1" customWidth="1"/>
    <col min="3" max="3" width="6.88671875" style="117" bestFit="1" customWidth="1"/>
    <col min="4" max="4" width="13.6640625" style="3" customWidth="1"/>
    <col min="5" max="5" width="19.5546875" style="1" customWidth="1"/>
    <col min="6" max="6" width="3.5546875" style="1" customWidth="1"/>
    <col min="7" max="7" width="1.5546875" style="1" bestFit="1" customWidth="1"/>
    <col min="8" max="8" width="3.5546875" style="1" customWidth="1"/>
    <col min="9" max="9" width="37.6640625" style="1" customWidth="1"/>
    <col min="10" max="10" width="19.109375" style="1" bestFit="1" customWidth="1"/>
    <col min="11" max="16384" width="11.44140625" style="1"/>
  </cols>
  <sheetData>
    <row r="1" spans="1:19" s="128" customFormat="1" ht="67.5" customHeight="1">
      <c r="A1" s="135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spans="1:19" s="128" customFormat="1" ht="31.5" customHeight="1" thickBot="1">
      <c r="A2" s="134"/>
      <c r="B2" s="129"/>
      <c r="C2" s="130"/>
      <c r="I2" s="127"/>
      <c r="N2" s="127"/>
      <c r="O2" s="127"/>
      <c r="P2" s="132"/>
      <c r="Q2" s="127"/>
      <c r="R2" s="131"/>
      <c r="S2" s="127"/>
    </row>
    <row r="3" spans="1:19" s="16" customFormat="1" ht="27" customHeight="1" thickBot="1">
      <c r="A3" s="147" t="s">
        <v>43</v>
      </c>
      <c r="B3" s="147"/>
      <c r="C3" s="147"/>
      <c r="D3" s="147"/>
      <c r="E3" s="147"/>
      <c r="F3" s="147"/>
      <c r="G3" s="147"/>
      <c r="H3" s="147"/>
      <c r="I3" s="147"/>
      <c r="J3" s="124"/>
      <c r="L3" s="17"/>
      <c r="M3" s="17"/>
      <c r="N3" s="18"/>
      <c r="O3" s="17"/>
      <c r="P3" s="19"/>
      <c r="Q3" s="17"/>
    </row>
    <row r="4" spans="1:19" s="16" customFormat="1" ht="27" customHeight="1">
      <c r="A4" s="154" t="s">
        <v>1</v>
      </c>
      <c r="B4" s="155"/>
      <c r="C4" s="155"/>
      <c r="D4" s="155"/>
      <c r="E4" s="155"/>
      <c r="F4" s="155"/>
      <c r="G4" s="155"/>
      <c r="H4" s="155"/>
      <c r="I4" s="155"/>
      <c r="J4" s="124"/>
      <c r="L4" s="17"/>
      <c r="M4" s="17"/>
      <c r="N4" s="18"/>
      <c r="O4" s="17"/>
      <c r="P4" s="19"/>
      <c r="Q4" s="17"/>
    </row>
    <row r="5" spans="1:19" s="11" customFormat="1" ht="9.75" customHeight="1">
      <c r="A5" s="21"/>
      <c r="B5" s="103"/>
      <c r="C5" s="115"/>
      <c r="D5" s="94"/>
      <c r="M5" s="13"/>
      <c r="N5" s="13"/>
      <c r="O5" s="12"/>
      <c r="P5" s="13"/>
      <c r="Q5" s="15"/>
      <c r="R5" s="13"/>
    </row>
    <row r="6" spans="1:19" s="11" customFormat="1" ht="12" customHeight="1">
      <c r="A6" s="21" t="str">
        <f>Text!B87</f>
        <v>Spiel</v>
      </c>
      <c r="B6" s="103" t="str">
        <f>Text!B88</f>
        <v>Datum</v>
      </c>
      <c r="C6" s="115" t="s">
        <v>2</v>
      </c>
      <c r="D6" s="94" t="s">
        <v>3</v>
      </c>
      <c r="M6" s="13"/>
      <c r="N6" s="13"/>
      <c r="O6" s="12"/>
      <c r="P6" s="13"/>
      <c r="Q6" s="15"/>
      <c r="R6" s="13"/>
    </row>
    <row r="7" spans="1:19" s="11" customFormat="1" ht="18" customHeight="1">
      <c r="A7" s="140" t="str">
        <f>Text!B78</f>
        <v>ACHTELFINALE</v>
      </c>
      <c r="B7" s="140"/>
      <c r="C7" s="140"/>
      <c r="D7" s="140"/>
      <c r="E7" s="140"/>
      <c r="F7" s="140"/>
      <c r="G7" s="140"/>
      <c r="H7" s="140"/>
      <c r="I7" s="140"/>
      <c r="J7" s="123" t="s">
        <v>8</v>
      </c>
      <c r="L7" s="13"/>
      <c r="M7" s="13"/>
      <c r="N7" s="12"/>
      <c r="O7" s="13"/>
      <c r="P7" s="15"/>
      <c r="Q7" s="13"/>
    </row>
    <row r="8" spans="1:19" s="11" customFormat="1" ht="12" customHeight="1">
      <c r="A8" s="15">
        <v>49</v>
      </c>
      <c r="B8" s="101" t="s">
        <v>4</v>
      </c>
      <c r="C8" s="116" t="s">
        <v>41</v>
      </c>
      <c r="D8" s="13">
        <v>1</v>
      </c>
      <c r="E8" s="22" t="str">
        <f>IF(Berechnung!W10,Vorrunde!M11,Text!B102 &amp; " " &amp; Text!B86 &amp;" A")</f>
        <v>TSV Langquaid/Australien</v>
      </c>
      <c r="F8" s="38">
        <v>3</v>
      </c>
      <c r="G8" s="13" t="s">
        <v>5</v>
      </c>
      <c r="H8" s="38">
        <v>1</v>
      </c>
      <c r="I8" s="24" t="str">
        <f>IF(Berechnung!W18,Vorrunde!M20,Text!B103 &amp; " " &amp; Text!B86 &amp;" B")</f>
        <v>TSV Kirchberg/Algerien</v>
      </c>
      <c r="J8" s="123"/>
    </row>
    <row r="9" spans="1:19" s="11" customFormat="1" ht="12" customHeight="1">
      <c r="A9" s="15">
        <v>50</v>
      </c>
      <c r="B9" s="101" t="s">
        <v>4</v>
      </c>
      <c r="C9" s="116" t="s">
        <v>41</v>
      </c>
      <c r="D9" s="13">
        <v>2</v>
      </c>
      <c r="E9" s="22" t="str">
        <f>IF(Berechnung!W26,Vorrunde!M27,Text!B102 &amp; " " &amp; Text!B86 &amp;" C")</f>
        <v>SC Pfettrach/Japan</v>
      </c>
      <c r="F9" s="39">
        <v>2</v>
      </c>
      <c r="G9" s="13" t="s">
        <v>5</v>
      </c>
      <c r="H9" s="39">
        <v>1</v>
      </c>
      <c r="I9" s="24" t="str">
        <f>IF(Berechnung!W34,Vorrunde!M36,Text!B103 &amp; " " &amp; Text!B86 &amp;" D")</f>
        <v>TSV Rohr/Südkorea</v>
      </c>
      <c r="J9" s="123"/>
    </row>
    <row r="10" spans="1:19" s="11" customFormat="1" ht="12" customHeight="1">
      <c r="A10" s="15">
        <v>51</v>
      </c>
      <c r="B10" s="101" t="s">
        <v>4</v>
      </c>
      <c r="C10" s="116" t="s">
        <v>41</v>
      </c>
      <c r="D10" s="13">
        <v>3</v>
      </c>
      <c r="E10" s="22" t="str">
        <f>IF(Berechnung!W18,Vorrunde!M19,Text!B102 &amp; " " &amp; Text!B86 &amp;" B")</f>
        <v>SV Gündlkofen/Südafrika</v>
      </c>
      <c r="F10" s="39">
        <v>3</v>
      </c>
      <c r="G10" s="13" t="s">
        <v>5</v>
      </c>
      <c r="H10" s="39">
        <v>2</v>
      </c>
      <c r="I10" s="24" t="str">
        <f>IF(Berechnung!W10,Vorrunde!M12,Text!B103 &amp; " " &amp; Text!B86 &amp;" A")</f>
        <v>SG Weihmichl/Neuhausen/Senegal</v>
      </c>
      <c r="J10" s="123"/>
    </row>
    <row r="11" spans="1:19" s="11" customFormat="1" ht="12" customHeight="1">
      <c r="A11" s="15">
        <v>52</v>
      </c>
      <c r="B11" s="101" t="s">
        <v>4</v>
      </c>
      <c r="C11" s="116" t="s">
        <v>44</v>
      </c>
      <c r="D11" s="13">
        <v>1</v>
      </c>
      <c r="E11" s="22" t="str">
        <f>IF(Berechnung!W34,Vorrunde!M35,Text!B102 &amp; " " &amp; Text!B86 &amp;" D")</f>
        <v>SSV 1983 Weng/Elfenbeinküste</v>
      </c>
      <c r="F11" s="39">
        <v>2</v>
      </c>
      <c r="G11" s="13" t="s">
        <v>5</v>
      </c>
      <c r="H11" s="39">
        <v>0</v>
      </c>
      <c r="I11" s="24" t="str">
        <f>IF(Berechnung!W26,Vorrunde!M28,Text!B103 &amp; " " &amp; Text!B86 &amp;" C")</f>
        <v>TSV Vilslern/Norwegen</v>
      </c>
      <c r="J11" s="123"/>
    </row>
    <row r="12" spans="1:19" s="11" customFormat="1" ht="12" customHeight="1">
      <c r="A12" s="15">
        <v>53</v>
      </c>
      <c r="B12" s="101" t="s">
        <v>4</v>
      </c>
      <c r="C12" s="116" t="s">
        <v>44</v>
      </c>
      <c r="D12" s="13">
        <v>2</v>
      </c>
      <c r="E12" s="22" t="str">
        <f>IF(Berechnung!W42,Vorrunde!M43,Text!B102 &amp; " " &amp; Text!B86 &amp;" E")</f>
        <v>SV Kumhausen/Marokko</v>
      </c>
      <c r="F12" s="39">
        <v>1</v>
      </c>
      <c r="G12" s="13" t="s">
        <v>5</v>
      </c>
      <c r="H12" s="39">
        <v>2</v>
      </c>
      <c r="I12" s="24" t="str">
        <f>IF(Berechnung!W50,Vorrunde!M52,Text!B103 &amp; " " &amp; Text!B86 &amp;" F")</f>
        <v>SV Sallach/Schweiz</v>
      </c>
      <c r="J12" s="123"/>
    </row>
    <row r="13" spans="1:19" s="11" customFormat="1" ht="12" customHeight="1">
      <c r="A13" s="15">
        <v>54</v>
      </c>
      <c r="B13" s="101" t="s">
        <v>4</v>
      </c>
      <c r="C13" s="116" t="s">
        <v>44</v>
      </c>
      <c r="D13" s="13">
        <v>3</v>
      </c>
      <c r="E13" s="22" t="str">
        <f>IF(Berechnung!W58,Vorrunde!M59,Text!B102 &amp; " " &amp; Text!B86 &amp;" G")</f>
        <v>FC Ergolding/Brasilien</v>
      </c>
      <c r="F13" s="39">
        <v>4</v>
      </c>
      <c r="G13" s="13" t="s">
        <v>5</v>
      </c>
      <c r="H13" s="39">
        <v>2</v>
      </c>
      <c r="I13" s="24" t="str">
        <f>IF(Berechnung!W66,Vorrunde!M68,Text!B103 &amp; " " &amp; Text!B86 &amp;" H")</f>
        <v>SSV Pfeffenhausen/Deutschland</v>
      </c>
      <c r="J13" s="123"/>
    </row>
    <row r="14" spans="1:19" s="11" customFormat="1" ht="12" customHeight="1">
      <c r="A14" s="15">
        <v>55</v>
      </c>
      <c r="B14" s="101" t="s">
        <v>4</v>
      </c>
      <c r="C14" s="116" t="s">
        <v>11</v>
      </c>
      <c r="D14" s="13">
        <v>1</v>
      </c>
      <c r="E14" s="22" t="str">
        <f>IF(Berechnung!W50,Vorrunde!M51,Text!B102 &amp; " " &amp; Text!B86 &amp;" F")</f>
        <v>TSV Baierbach/England</v>
      </c>
      <c r="F14" s="39">
        <v>2</v>
      </c>
      <c r="G14" s="13" t="s">
        <v>5</v>
      </c>
      <c r="H14" s="39">
        <v>0</v>
      </c>
      <c r="I14" s="24" t="str">
        <f>IF(Berechnung!W42,Vorrunde!M44,Text!B103 &amp; " " &amp; Text!B86 &amp;" E")</f>
        <v>ETSV 09 Landshut/Belgien</v>
      </c>
      <c r="J14" s="123"/>
    </row>
    <row r="15" spans="1:19" s="11" customFormat="1" ht="12" customHeight="1">
      <c r="A15" s="15">
        <v>56</v>
      </c>
      <c r="B15" s="101" t="s">
        <v>4</v>
      </c>
      <c r="C15" s="116" t="s">
        <v>11</v>
      </c>
      <c r="D15" s="13">
        <v>2</v>
      </c>
      <c r="E15" s="22" t="str">
        <f>IF(Berechnung!W66,Vorrunde!M67,Text!B102 &amp; " " &amp; Text!B86 &amp;" H")</f>
        <v>SV Münchnerau/Ghana</v>
      </c>
      <c r="F15" s="39">
        <v>3</v>
      </c>
      <c r="G15" s="13" t="s">
        <v>5</v>
      </c>
      <c r="H15" s="39">
        <v>1</v>
      </c>
      <c r="I15" s="24" t="str">
        <f>IF(Berechnung!W58,Vorrunde!M60,Text!B103 &amp; " " &amp; Text!B86 &amp;" G")</f>
        <v>DJK SV Furth/Katar</v>
      </c>
      <c r="J15" s="123"/>
    </row>
    <row r="16" spans="1:19" s="11" customFormat="1" ht="12" customHeight="1">
      <c r="B16" s="102"/>
      <c r="C16" s="116"/>
      <c r="D16" s="13"/>
      <c r="E16" s="22"/>
      <c r="J16" s="123"/>
    </row>
    <row r="17" spans="1:10" s="11" customFormat="1" ht="18" customHeight="1">
      <c r="A17" s="140" t="s">
        <v>45</v>
      </c>
      <c r="B17" s="140"/>
      <c r="C17" s="140"/>
      <c r="D17" s="140"/>
      <c r="E17" s="140"/>
      <c r="F17" s="140"/>
      <c r="G17" s="140"/>
      <c r="H17" s="140"/>
      <c r="I17" s="140"/>
      <c r="J17" s="123" t="s">
        <v>14</v>
      </c>
    </row>
    <row r="18" spans="1:10" s="11" customFormat="1" ht="12" customHeight="1">
      <c r="A18" s="15">
        <v>57</v>
      </c>
      <c r="B18" s="101" t="s">
        <v>15</v>
      </c>
      <c r="C18" s="116" t="s">
        <v>16</v>
      </c>
      <c r="D18" s="13">
        <v>1</v>
      </c>
      <c r="E18" s="22" t="str">
        <f>IF(F8&gt;H8,I8,IF(F8&lt;H8,E8,"Verlierer 49"))</f>
        <v>TSV Kirchberg/Algerien</v>
      </c>
      <c r="F18" s="38">
        <v>5</v>
      </c>
      <c r="G18" s="13" t="s">
        <v>5</v>
      </c>
      <c r="H18" s="38">
        <v>1</v>
      </c>
      <c r="I18" s="24" t="str">
        <f>IF(F9&gt;H9,I9,IF(F9&lt;H9,E9,"Verlierer 50"))</f>
        <v>TSV Rohr/Südkorea</v>
      </c>
      <c r="J18" s="123"/>
    </row>
    <row r="19" spans="1:10" s="11" customFormat="1" ht="12" customHeight="1">
      <c r="A19" s="15">
        <v>58</v>
      </c>
      <c r="B19" s="101" t="s">
        <v>15</v>
      </c>
      <c r="C19" s="116" t="s">
        <v>16</v>
      </c>
      <c r="D19" s="13">
        <v>2</v>
      </c>
      <c r="E19" s="22" t="str">
        <f>IF(F12&gt;H12,I12,IF(F12&lt;H12,E12,"Verlierer 53"))</f>
        <v>SV Kumhausen/Marokko</v>
      </c>
      <c r="F19" s="39">
        <v>1</v>
      </c>
      <c r="G19" s="13" t="s">
        <v>5</v>
      </c>
      <c r="H19" s="39">
        <v>3</v>
      </c>
      <c r="I19" s="24" t="str">
        <f>IF(F13&gt;H13,I13,IF(F13&lt;H13,E13,"Verlierer 54"))</f>
        <v>SSV Pfeffenhausen/Deutschland</v>
      </c>
      <c r="J19" s="123"/>
    </row>
    <row r="20" spans="1:10" s="11" customFormat="1" ht="12" customHeight="1">
      <c r="A20" s="15">
        <v>59</v>
      </c>
      <c r="B20" s="101" t="s">
        <v>15</v>
      </c>
      <c r="C20" s="116" t="s">
        <v>17</v>
      </c>
      <c r="D20" s="13">
        <v>3</v>
      </c>
      <c r="E20" s="22" t="str">
        <f>IF(F14&gt;H14,I14,IF(F14&lt;H14,E14,"Verlierer 55"))</f>
        <v>ETSV 09 Landshut/Belgien</v>
      </c>
      <c r="F20" s="39">
        <v>0</v>
      </c>
      <c r="G20" s="13" t="s">
        <v>5</v>
      </c>
      <c r="H20" s="39">
        <v>6</v>
      </c>
      <c r="I20" s="24" t="str">
        <f>IF(F15&gt;H15,I15,IF(F15&lt;H15,E15,"Verlierer 56"))</f>
        <v>DJK SV Furth/Katar</v>
      </c>
      <c r="J20" s="123"/>
    </row>
    <row r="21" spans="1:10" s="11" customFormat="1" ht="12" customHeight="1">
      <c r="A21" s="15">
        <v>60</v>
      </c>
      <c r="B21" s="101" t="s">
        <v>15</v>
      </c>
      <c r="C21" s="116" t="s">
        <v>18</v>
      </c>
      <c r="D21" s="13">
        <v>1</v>
      </c>
      <c r="E21" s="22" t="str">
        <f>IF(F10&gt;H10,I10,IF(F10&lt;H10,E10,"Verlierer 51"))</f>
        <v>SG Weihmichl/Neuhausen/Senegal</v>
      </c>
      <c r="F21" s="39">
        <v>3</v>
      </c>
      <c r="G21" s="13" t="s">
        <v>5</v>
      </c>
      <c r="H21" s="39">
        <v>0</v>
      </c>
      <c r="I21" s="24" t="str">
        <f>IF(F11&gt;H11,I11,IF(F11&lt;H11,E11,"Verlierer 52"))</f>
        <v>TSV Vilslern/Norwegen</v>
      </c>
      <c r="J21" s="123"/>
    </row>
    <row r="22" spans="1:10" s="11" customFormat="1" ht="12" customHeight="1">
      <c r="B22" s="102"/>
      <c r="C22" s="116"/>
      <c r="D22" s="13"/>
      <c r="E22" s="22"/>
      <c r="J22" s="123"/>
    </row>
    <row r="23" spans="1:10" s="11" customFormat="1" ht="18" customHeight="1">
      <c r="A23" s="140" t="s">
        <v>46</v>
      </c>
      <c r="B23" s="140"/>
      <c r="C23" s="140"/>
      <c r="D23" s="140"/>
      <c r="E23" s="140"/>
      <c r="F23" s="140"/>
      <c r="G23" s="140"/>
      <c r="H23" s="140"/>
      <c r="I23" s="140"/>
      <c r="J23" s="123" t="s">
        <v>20</v>
      </c>
    </row>
    <row r="24" spans="1:10" s="11" customFormat="1" ht="12" customHeight="1">
      <c r="A24" s="15">
        <v>61</v>
      </c>
      <c r="B24" s="101" t="s">
        <v>15</v>
      </c>
      <c r="C24" s="116" t="s">
        <v>18</v>
      </c>
      <c r="D24" s="13">
        <v>3</v>
      </c>
      <c r="E24" s="22" t="str">
        <f>IF($F18&gt;$H18,$I18,IF($F18&lt;$H18,$E18,"Verlierer 57"))</f>
        <v>TSV Rohr/Südkorea</v>
      </c>
      <c r="F24" s="38">
        <v>0</v>
      </c>
      <c r="G24" s="13" t="s">
        <v>5</v>
      </c>
      <c r="H24" s="38">
        <v>6</v>
      </c>
      <c r="I24" s="24" t="str">
        <f>IF($F19&gt;$H19,$I19,IF($F19&lt;$H19,$E19,"Verlierer 58"))</f>
        <v>SV Kumhausen/Marokko</v>
      </c>
      <c r="J24" s="123"/>
    </row>
    <row r="25" spans="1:10" s="11" customFormat="1" ht="12" customHeight="1">
      <c r="A25" s="15">
        <v>62</v>
      </c>
      <c r="B25" s="101" t="s">
        <v>15</v>
      </c>
      <c r="C25" s="116" t="s">
        <v>21</v>
      </c>
      <c r="D25" s="13">
        <v>3</v>
      </c>
      <c r="E25" s="22" t="str">
        <f>IF($F20&gt;$H20,$I20,IF($F20&lt;$H20,$E20,"Verlierer 59"))</f>
        <v>ETSV 09 Landshut/Belgien</v>
      </c>
      <c r="F25" s="38">
        <v>0</v>
      </c>
      <c r="G25" s="13" t="s">
        <v>5</v>
      </c>
      <c r="H25" s="38">
        <v>1</v>
      </c>
      <c r="I25" s="24" t="str">
        <f>IF($F21&gt;$H21,$I21,IF($F21&lt;$H21,$E21,"Verlierer 60"))</f>
        <v>TSV Vilslern/Norwegen</v>
      </c>
      <c r="J25" s="123"/>
    </row>
    <row r="26" spans="1:10" s="11" customFormat="1" ht="12" customHeight="1">
      <c r="B26" s="102"/>
      <c r="C26" s="116"/>
      <c r="D26" s="13"/>
      <c r="E26" s="22"/>
      <c r="J26" s="123"/>
    </row>
    <row r="27" spans="1:10" s="11" customFormat="1" ht="18" customHeight="1">
      <c r="A27" s="140" t="s">
        <v>47</v>
      </c>
      <c r="B27" s="140"/>
      <c r="C27" s="140"/>
      <c r="D27" s="140"/>
      <c r="E27" s="140"/>
      <c r="F27" s="140"/>
      <c r="G27" s="140"/>
      <c r="H27" s="140"/>
      <c r="I27" s="140"/>
      <c r="J27" s="123" t="s">
        <v>20</v>
      </c>
    </row>
    <row r="28" spans="1:10" s="11" customFormat="1" ht="12" customHeight="1">
      <c r="A28" s="15">
        <v>63</v>
      </c>
      <c r="B28" s="101" t="s">
        <v>15</v>
      </c>
      <c r="C28" s="116" t="s">
        <v>23</v>
      </c>
      <c r="D28" s="13">
        <v>1</v>
      </c>
      <c r="E28" s="22" t="str">
        <f>IF($F24&gt;$H24,$I24,IF($F24&lt;$H24,$E24,"Verlierer 61"))</f>
        <v>TSV Rohr/Südkorea</v>
      </c>
      <c r="F28" s="38">
        <v>1</v>
      </c>
      <c r="G28" s="13" t="s">
        <v>5</v>
      </c>
      <c r="H28" s="38">
        <v>2</v>
      </c>
      <c r="I28" s="24" t="str">
        <f>IF($F25&gt;$H25,$I25,IF($F25&lt;$H25,$E25,"Verlierer 62"))</f>
        <v>ETSV 09 Landshut/Belgien</v>
      </c>
      <c r="J28" s="123"/>
    </row>
    <row r="29" spans="1:10" s="11" customFormat="1" ht="12" customHeight="1">
      <c r="B29" s="102"/>
      <c r="C29" s="116"/>
      <c r="D29" s="13"/>
      <c r="E29" s="22"/>
      <c r="J29" s="123"/>
    </row>
    <row r="30" spans="1:10" s="11" customFormat="1" ht="18" customHeight="1">
      <c r="A30" s="140" t="s">
        <v>48</v>
      </c>
      <c r="B30" s="140"/>
      <c r="C30" s="140"/>
      <c r="D30" s="140"/>
      <c r="E30" s="140"/>
      <c r="F30" s="140"/>
      <c r="G30" s="140"/>
      <c r="H30" s="140"/>
      <c r="I30" s="140"/>
      <c r="J30" s="123" t="s">
        <v>20</v>
      </c>
    </row>
    <row r="31" spans="1:10" s="11" customFormat="1" ht="12" customHeight="1">
      <c r="A31" s="15">
        <v>64</v>
      </c>
      <c r="B31" s="101" t="s">
        <v>15</v>
      </c>
      <c r="C31" s="116" t="s">
        <v>23</v>
      </c>
      <c r="D31" s="13">
        <v>2</v>
      </c>
      <c r="E31" s="22" t="str">
        <f>IF($F24&lt;$H24,$I24,IF($F24&gt;$H24,$E24,"Sieger 61"))</f>
        <v>SV Kumhausen/Marokko</v>
      </c>
      <c r="F31" s="38">
        <v>2</v>
      </c>
      <c r="G31" s="13" t="s">
        <v>5</v>
      </c>
      <c r="H31" s="38">
        <v>0</v>
      </c>
      <c r="I31" s="24" t="str">
        <f>IF($F25&lt;$H25,$I25,IF($F25&gt;$H25,$E25,"Sieger 62"))</f>
        <v>TSV Vilslern/Norwegen</v>
      </c>
      <c r="J31" s="123"/>
    </row>
    <row r="32" spans="1:10" s="11" customFormat="1" ht="12" customHeight="1">
      <c r="B32" s="102"/>
      <c r="C32" s="116"/>
      <c r="D32" s="13"/>
      <c r="E32" s="22"/>
      <c r="J32" s="123"/>
    </row>
    <row r="33" spans="1:10" s="11" customFormat="1" ht="18" customHeight="1">
      <c r="A33" s="140" t="s">
        <v>49</v>
      </c>
      <c r="B33" s="140"/>
      <c r="C33" s="140"/>
      <c r="D33" s="140"/>
      <c r="E33" s="140"/>
      <c r="F33" s="140"/>
      <c r="G33" s="140"/>
      <c r="H33" s="140"/>
      <c r="I33" s="140"/>
      <c r="J33" s="123" t="s">
        <v>20</v>
      </c>
    </row>
    <row r="34" spans="1:10" s="11" customFormat="1" ht="12" customHeight="1">
      <c r="A34" s="15">
        <v>65</v>
      </c>
      <c r="B34" s="101" t="s">
        <v>15</v>
      </c>
      <c r="C34" s="116" t="s">
        <v>28</v>
      </c>
      <c r="D34" s="13">
        <v>1</v>
      </c>
      <c r="E34" s="22" t="str">
        <f>IF($F18&lt;$H18,$I18,IF($F18&gt;$H18,$E18,"Sieger 57"))</f>
        <v>TSV Kirchberg/Algerien</v>
      </c>
      <c r="F34" s="38">
        <v>3</v>
      </c>
      <c r="G34" s="13" t="s">
        <v>5</v>
      </c>
      <c r="H34" s="38">
        <v>1</v>
      </c>
      <c r="I34" s="24" t="str">
        <f>IF($F19&lt;$H19,$I19,IF($F19&gt;$H19,$E19,"Sieger 58"))</f>
        <v>SSV Pfeffenhausen/Deutschland</v>
      </c>
      <c r="J34" s="123"/>
    </row>
    <row r="35" spans="1:10" s="11" customFormat="1" ht="12" customHeight="1">
      <c r="A35" s="15">
        <v>66</v>
      </c>
      <c r="B35" s="101" t="s">
        <v>15</v>
      </c>
      <c r="C35" s="116" t="s">
        <v>28</v>
      </c>
      <c r="D35" s="13">
        <v>2</v>
      </c>
      <c r="E35" s="22" t="str">
        <f>IF($F20&lt;$H20,$I20,IF($F20&gt;$H20,$E20,"Sieger 59"))</f>
        <v>DJK SV Furth/Katar</v>
      </c>
      <c r="F35" s="38">
        <v>1</v>
      </c>
      <c r="G35" s="13" t="s">
        <v>5</v>
      </c>
      <c r="H35" s="38">
        <v>3</v>
      </c>
      <c r="I35" s="24" t="str">
        <f>IF($F21&lt;$H21,$I21,IF($F21&gt;$H21,$E21,"Sieger 60"))</f>
        <v>SG Weihmichl/Neuhausen/Senegal</v>
      </c>
      <c r="J35" s="123"/>
    </row>
    <row r="36" spans="1:10" s="11" customFormat="1" ht="12" customHeight="1">
      <c r="B36" s="102"/>
      <c r="C36" s="116"/>
      <c r="D36" s="13"/>
      <c r="E36" s="22"/>
      <c r="J36" s="123"/>
    </row>
    <row r="37" spans="1:10" s="11" customFormat="1" ht="18" customHeight="1">
      <c r="A37" s="140" t="s">
        <v>50</v>
      </c>
      <c r="B37" s="140"/>
      <c r="C37" s="140"/>
      <c r="D37" s="140"/>
      <c r="E37" s="140"/>
      <c r="F37" s="140"/>
      <c r="G37" s="140"/>
      <c r="H37" s="140"/>
      <c r="I37" s="140"/>
      <c r="J37" s="123" t="s">
        <v>20</v>
      </c>
    </row>
    <row r="38" spans="1:10" s="11" customFormat="1" ht="12" customHeight="1">
      <c r="A38" s="15">
        <v>67</v>
      </c>
      <c r="B38" s="101" t="s">
        <v>15</v>
      </c>
      <c r="C38" s="116" t="s">
        <v>30</v>
      </c>
      <c r="D38" s="13">
        <v>2</v>
      </c>
      <c r="E38" s="22" t="str">
        <f>IF($F34&gt;$H34,$I34,IF($F34&lt;$H34,$E34,"Verlierer 65"))</f>
        <v>SSV Pfeffenhausen/Deutschland</v>
      </c>
      <c r="F38" s="38">
        <v>2</v>
      </c>
      <c r="G38" s="13" t="s">
        <v>5</v>
      </c>
      <c r="H38" s="38">
        <v>3</v>
      </c>
      <c r="I38" s="24" t="str">
        <f>IF($F35&gt;$H35,$I35,IF($F35&lt;$H35,$E35,"Verlierer 66"))</f>
        <v>DJK SV Furth/Katar</v>
      </c>
      <c r="J38" s="123"/>
    </row>
    <row r="39" spans="1:10" s="11" customFormat="1" ht="12" customHeight="1">
      <c r="B39" s="102"/>
      <c r="C39" s="116"/>
      <c r="D39" s="13"/>
      <c r="E39" s="22"/>
      <c r="J39" s="123"/>
    </row>
    <row r="40" spans="1:10" s="11" customFormat="1" ht="18" customHeight="1">
      <c r="A40" s="140" t="s">
        <v>51</v>
      </c>
      <c r="B40" s="140"/>
      <c r="C40" s="140"/>
      <c r="D40" s="140"/>
      <c r="E40" s="140"/>
      <c r="F40" s="140"/>
      <c r="G40" s="140"/>
      <c r="H40" s="140"/>
      <c r="I40" s="140"/>
      <c r="J40" s="123" t="s">
        <v>20</v>
      </c>
    </row>
    <row r="41" spans="1:10" s="11" customFormat="1" ht="12" customHeight="1">
      <c r="A41" s="15">
        <v>68</v>
      </c>
      <c r="B41" s="101" t="s">
        <v>15</v>
      </c>
      <c r="C41" s="116" t="s">
        <v>30</v>
      </c>
      <c r="D41" s="13">
        <v>3</v>
      </c>
      <c r="E41" s="22" t="str">
        <f>IF($F34&lt;$H34,$I34,IF($F34&gt;$H34,$E34,"Sieger 65"))</f>
        <v>TSV Kirchberg/Algerien</v>
      </c>
      <c r="F41" s="38">
        <v>3</v>
      </c>
      <c r="G41" s="13" t="s">
        <v>5</v>
      </c>
      <c r="H41" s="38">
        <v>2</v>
      </c>
      <c r="I41" s="24" t="str">
        <f>IF($F35&lt;$H35,$I35,IF($F35&gt;$H35,$E35,"Sieger 66"))</f>
        <v>SG Weihmichl/Neuhausen/Senegal</v>
      </c>
      <c r="J41" s="123"/>
    </row>
    <row r="42" spans="1:10" s="11" customFormat="1" ht="12" customHeight="1">
      <c r="B42" s="102"/>
      <c r="C42" s="116"/>
      <c r="D42" s="13"/>
      <c r="E42" s="22"/>
      <c r="J42" s="123"/>
    </row>
    <row r="43" spans="1:10" s="11" customFormat="1" ht="18" customHeight="1">
      <c r="A43" s="140" t="s">
        <v>52</v>
      </c>
      <c r="B43" s="140"/>
      <c r="C43" s="140"/>
      <c r="D43" s="140"/>
      <c r="E43" s="140"/>
      <c r="F43" s="140"/>
      <c r="G43" s="140"/>
      <c r="H43" s="140"/>
      <c r="I43" s="140"/>
      <c r="J43" s="123" t="s">
        <v>14</v>
      </c>
    </row>
    <row r="44" spans="1:10" s="11" customFormat="1" ht="12" customHeight="1">
      <c r="A44" s="15">
        <v>69</v>
      </c>
      <c r="B44" s="101" t="s">
        <v>15</v>
      </c>
      <c r="C44" s="116" t="s">
        <v>31</v>
      </c>
      <c r="D44" s="13">
        <v>1</v>
      </c>
      <c r="E44" s="22" t="str">
        <f>IF(F8&lt;H8,I8,IF(F8&gt;H8,E8,"Sieger 49"))</f>
        <v>TSV Langquaid/Australien</v>
      </c>
      <c r="F44" s="38">
        <v>1</v>
      </c>
      <c r="G44" s="13" t="s">
        <v>5</v>
      </c>
      <c r="H44" s="38">
        <v>0</v>
      </c>
      <c r="I44" s="24" t="str">
        <f>IF(F9&lt;H9,I9,IF(F9&gt;H9,E9,"Sieger 50"))</f>
        <v>SC Pfettrach/Japan</v>
      </c>
      <c r="J44" s="123"/>
    </row>
    <row r="45" spans="1:10" s="11" customFormat="1" ht="12" customHeight="1">
      <c r="A45" s="15">
        <v>70</v>
      </c>
      <c r="B45" s="101" t="s">
        <v>15</v>
      </c>
      <c r="C45" s="116" t="s">
        <v>32</v>
      </c>
      <c r="D45" s="13">
        <v>2</v>
      </c>
      <c r="E45" s="22" t="str">
        <f>IF(F12&lt;H12,I12,IF(F12&gt;H12,E12,"Sieger 53"))</f>
        <v>SV Sallach/Schweiz</v>
      </c>
      <c r="F45" s="39">
        <v>0</v>
      </c>
      <c r="G45" s="13" t="s">
        <v>5</v>
      </c>
      <c r="H45" s="39">
        <v>5</v>
      </c>
      <c r="I45" s="24" t="str">
        <f>IF(F13&lt;H13,I13,IF(F13&gt;H13,E13,"Sieger 54"))</f>
        <v>FC Ergolding/Brasilien</v>
      </c>
      <c r="J45" s="123"/>
    </row>
    <row r="46" spans="1:10" s="11" customFormat="1" ht="12" customHeight="1">
      <c r="A46" s="15">
        <v>71</v>
      </c>
      <c r="B46" s="101" t="s">
        <v>15</v>
      </c>
      <c r="C46" s="116" t="s">
        <v>32</v>
      </c>
      <c r="D46" s="13">
        <v>3</v>
      </c>
      <c r="E46" s="22" t="str">
        <f>IF(F14&lt;H14,I14,IF(F14&gt;H14,E14,"Sieger 55"))</f>
        <v>TSV Baierbach/England</v>
      </c>
      <c r="F46" s="39">
        <v>0</v>
      </c>
      <c r="G46" s="13" t="s">
        <v>5</v>
      </c>
      <c r="H46" s="39">
        <v>1</v>
      </c>
      <c r="I46" s="24" t="str">
        <f>IF(F15&lt;H15,I15,IF(F15&gt;H15,E15,"Sieger 56"))</f>
        <v>SV Münchnerau/Ghana</v>
      </c>
      <c r="J46" s="123"/>
    </row>
    <row r="47" spans="1:10" s="11" customFormat="1" ht="12" customHeight="1">
      <c r="A47" s="15">
        <v>72</v>
      </c>
      <c r="B47" s="101" t="s">
        <v>15</v>
      </c>
      <c r="C47" s="116" t="s">
        <v>33</v>
      </c>
      <c r="D47" s="13">
        <v>1</v>
      </c>
      <c r="E47" s="22" t="str">
        <f>IF(F10&lt;H10,I10,IF(F10&gt;H10,E10,"Sieger 51"))</f>
        <v>SV Gündlkofen/Südafrika</v>
      </c>
      <c r="F47" s="39">
        <v>1</v>
      </c>
      <c r="G47" s="13" t="s">
        <v>5</v>
      </c>
      <c r="H47" s="39">
        <v>0</v>
      </c>
      <c r="I47" s="24" t="str">
        <f>IF(F11&lt;H11,I11,IF(F11&gt;H11,E11,"Sieger 52"))</f>
        <v>SSV 1983 Weng/Elfenbeinküste</v>
      </c>
      <c r="J47" s="123"/>
    </row>
    <row r="48" spans="1:10" s="11" customFormat="1" ht="12" customHeight="1">
      <c r="A48" s="15"/>
      <c r="B48" s="101"/>
      <c r="C48" s="116"/>
      <c r="D48" s="13"/>
      <c r="E48" s="22"/>
      <c r="F48" s="111"/>
      <c r="G48" s="13"/>
      <c r="H48" s="111"/>
      <c r="I48" s="24"/>
      <c r="J48" s="123"/>
    </row>
    <row r="49" spans="1:10" s="11" customFormat="1" ht="18" customHeight="1">
      <c r="A49" s="140" t="s">
        <v>53</v>
      </c>
      <c r="B49" s="140"/>
      <c r="C49" s="140"/>
      <c r="D49" s="140"/>
      <c r="E49" s="140"/>
      <c r="F49" s="140"/>
      <c r="G49" s="140"/>
      <c r="H49" s="140"/>
      <c r="I49" s="140"/>
      <c r="J49" s="123" t="s">
        <v>20</v>
      </c>
    </row>
    <row r="50" spans="1:10" s="11" customFormat="1" ht="12" customHeight="1">
      <c r="A50" s="15">
        <v>73</v>
      </c>
      <c r="B50" s="101" t="s">
        <v>15</v>
      </c>
      <c r="C50" s="116" t="s">
        <v>35</v>
      </c>
      <c r="D50" s="13">
        <v>1</v>
      </c>
      <c r="E50" s="22" t="str">
        <f>IF($F44&gt;$H44,$I44,IF($F44&lt;$H44,$E44,"Verlierer 69"))</f>
        <v>SC Pfettrach/Japan</v>
      </c>
      <c r="F50" s="38">
        <v>1</v>
      </c>
      <c r="G50" s="13" t="s">
        <v>5</v>
      </c>
      <c r="H50" s="38">
        <v>0</v>
      </c>
      <c r="I50" s="24" t="str">
        <f>IF($F45&gt;$H45,$I45,IF($F45&lt;$H45,$E45,"Verlierer 70"))</f>
        <v>SV Sallach/Schweiz</v>
      </c>
      <c r="J50" s="123"/>
    </row>
    <row r="51" spans="1:10" s="11" customFormat="1" ht="12" customHeight="1">
      <c r="A51" s="15">
        <v>74</v>
      </c>
      <c r="B51" s="101" t="s">
        <v>15</v>
      </c>
      <c r="C51" s="116" t="s">
        <v>35</v>
      </c>
      <c r="D51" s="13">
        <v>3</v>
      </c>
      <c r="E51" s="22" t="str">
        <f>IF($F46&gt;$H46,$I46,IF($F46&lt;$H46,$E46,"Verlierer 71"))</f>
        <v>TSV Baierbach/England</v>
      </c>
      <c r="F51" s="38">
        <v>1</v>
      </c>
      <c r="G51" s="13" t="s">
        <v>5</v>
      </c>
      <c r="H51" s="38">
        <v>3</v>
      </c>
      <c r="I51" s="24" t="str">
        <f>IF($F47&gt;$H47,$I47,IF($F47&lt;$H47,$E47,"Verlierer 72"))</f>
        <v>SSV 1983 Weng/Elfenbeinküste</v>
      </c>
      <c r="J51" s="123"/>
    </row>
    <row r="52" spans="1:10" s="11" customFormat="1" ht="12" customHeight="1">
      <c r="A52" s="15"/>
      <c r="B52" s="101"/>
      <c r="C52" s="116"/>
      <c r="D52" s="13"/>
      <c r="E52" s="22"/>
      <c r="F52" s="111"/>
      <c r="G52" s="13"/>
      <c r="H52" s="111"/>
      <c r="I52" s="24"/>
      <c r="J52" s="123"/>
    </row>
    <row r="53" spans="1:10" s="11" customFormat="1" ht="18" customHeight="1">
      <c r="A53" s="140" t="s">
        <v>55</v>
      </c>
      <c r="B53" s="140"/>
      <c r="C53" s="140"/>
      <c r="D53" s="140"/>
      <c r="E53" s="140"/>
      <c r="F53" s="140"/>
      <c r="G53" s="140"/>
      <c r="H53" s="140"/>
      <c r="I53" s="140"/>
      <c r="J53" s="123" t="s">
        <v>20</v>
      </c>
    </row>
    <row r="54" spans="1:10" s="11" customFormat="1" ht="12" customHeight="1">
      <c r="A54" s="15">
        <v>75</v>
      </c>
      <c r="B54" s="101" t="s">
        <v>15</v>
      </c>
      <c r="C54" s="116" t="s">
        <v>54</v>
      </c>
      <c r="D54" s="13">
        <v>2</v>
      </c>
      <c r="E54" s="22" t="str">
        <f>IF($F50&gt;$H50,$I50,IF($F50&lt;$H50,$E50,"Verlierer 73"))</f>
        <v>SV Sallach/Schweiz</v>
      </c>
      <c r="F54" s="38">
        <v>0</v>
      </c>
      <c r="G54" s="13" t="s">
        <v>5</v>
      </c>
      <c r="H54" s="38">
        <v>3</v>
      </c>
      <c r="I54" s="24" t="str">
        <f>IF($F51&gt;$H51,$I51,IF($F51&lt;$H51,$E51,"Verlierer 74"))</f>
        <v>TSV Baierbach/England</v>
      </c>
      <c r="J54" s="123"/>
    </row>
    <row r="55" spans="1:10" s="11" customFormat="1" ht="12" customHeight="1">
      <c r="A55" s="15"/>
      <c r="B55" s="102"/>
      <c r="C55" s="116"/>
      <c r="D55" s="13"/>
      <c r="E55" s="22"/>
      <c r="I55" s="24"/>
      <c r="J55" s="123"/>
    </row>
    <row r="56" spans="1:10" s="11" customFormat="1" ht="18" customHeight="1">
      <c r="A56" s="140" t="s">
        <v>56</v>
      </c>
      <c r="B56" s="140"/>
      <c r="C56" s="140"/>
      <c r="D56" s="140"/>
      <c r="E56" s="140"/>
      <c r="F56" s="140"/>
      <c r="G56" s="140"/>
      <c r="H56" s="140"/>
      <c r="I56" s="140"/>
      <c r="J56" s="123" t="s">
        <v>20</v>
      </c>
    </row>
    <row r="57" spans="1:10" s="11" customFormat="1" ht="12" customHeight="1">
      <c r="A57" s="15">
        <v>76</v>
      </c>
      <c r="B57" s="101" t="s">
        <v>15</v>
      </c>
      <c r="C57" s="116" t="s">
        <v>54</v>
      </c>
      <c r="D57" s="13">
        <v>3</v>
      </c>
      <c r="E57" s="22" t="str">
        <f>IF($F50&lt;$H50,$I50,IF($F50&gt;$H50,$E50,"Sieger 73"))</f>
        <v>SC Pfettrach/Japan</v>
      </c>
      <c r="F57" s="38">
        <v>0</v>
      </c>
      <c r="G57" s="13" t="s">
        <v>5</v>
      </c>
      <c r="H57" s="38">
        <v>2</v>
      </c>
      <c r="I57" s="24" t="str">
        <f>IF($F51&lt;$H51,$I51,IF($F51&gt;$H51,$E51,"Sieger 74"))</f>
        <v>SSV 1983 Weng/Elfenbeinküste</v>
      </c>
      <c r="J57" s="123"/>
    </row>
    <row r="58" spans="1:10" s="11" customFormat="1" ht="12" customHeight="1">
      <c r="A58" s="15"/>
      <c r="B58" s="102"/>
      <c r="C58" s="116"/>
      <c r="D58" s="13"/>
      <c r="E58" s="22"/>
      <c r="I58" s="24"/>
      <c r="J58" s="123"/>
    </row>
    <row r="59" spans="1:10" s="11" customFormat="1" ht="18" customHeight="1">
      <c r="A59" s="140" t="s">
        <v>57</v>
      </c>
      <c r="B59" s="140"/>
      <c r="C59" s="140"/>
      <c r="D59" s="140"/>
      <c r="E59" s="140"/>
      <c r="F59" s="140"/>
      <c r="G59" s="140"/>
      <c r="H59" s="140"/>
      <c r="I59" s="140"/>
      <c r="J59" s="123" t="s">
        <v>20</v>
      </c>
    </row>
    <row r="60" spans="1:10" s="11" customFormat="1" ht="12" customHeight="1">
      <c r="A60" s="15">
        <v>77</v>
      </c>
      <c r="B60" s="101" t="s">
        <v>15</v>
      </c>
      <c r="C60" s="116" t="s">
        <v>58</v>
      </c>
      <c r="D60" s="13">
        <v>1</v>
      </c>
      <c r="E60" s="22" t="str">
        <f>IF($F44&lt;$H44,$I44,IF($F44&gt;$H44,$E44,"Sieger 69"))</f>
        <v>TSV Langquaid/Australien</v>
      </c>
      <c r="F60" s="38">
        <v>2</v>
      </c>
      <c r="G60" s="13" t="s">
        <v>5</v>
      </c>
      <c r="H60" s="38">
        <v>4</v>
      </c>
      <c r="I60" s="24" t="str">
        <f>IF($F45&lt;$H45,$I45,IF($F45&gt;$H45,$E45,"Sieger 70"))</f>
        <v>FC Ergolding/Brasilien</v>
      </c>
      <c r="J60" s="123"/>
    </row>
    <row r="61" spans="1:10" s="11" customFormat="1" ht="12" customHeight="1">
      <c r="A61" s="15">
        <v>78</v>
      </c>
      <c r="B61" s="101" t="s">
        <v>15</v>
      </c>
      <c r="C61" s="116" t="s">
        <v>58</v>
      </c>
      <c r="D61" s="13">
        <v>2</v>
      </c>
      <c r="E61" s="22" t="str">
        <f>IF($F46&lt;$H46,$I46,IF($F46&gt;$H46,$E46,"Sieger 71"))</f>
        <v>SV Münchnerau/Ghana</v>
      </c>
      <c r="F61" s="39">
        <v>3</v>
      </c>
      <c r="G61" s="13" t="s">
        <v>5</v>
      </c>
      <c r="H61" s="39">
        <v>2</v>
      </c>
      <c r="I61" s="24" t="str">
        <f>IF($F47&lt;$H47,$I47,IF($F47&gt;$H47,$E47,"Sieger 72"))</f>
        <v>SV Gündlkofen/Südafrika</v>
      </c>
      <c r="J61" s="123"/>
    </row>
    <row r="62" spans="1:10" s="11" customFormat="1" ht="12" customHeight="1">
      <c r="B62" s="102"/>
      <c r="C62" s="116"/>
      <c r="D62" s="13"/>
    </row>
    <row r="63" spans="1:10" s="11" customFormat="1" ht="18" customHeight="1">
      <c r="A63" s="140" t="s">
        <v>59</v>
      </c>
      <c r="B63" s="140"/>
      <c r="C63" s="140"/>
      <c r="D63" s="140"/>
      <c r="E63" s="140"/>
      <c r="F63" s="140"/>
      <c r="G63" s="140"/>
      <c r="H63" s="140"/>
      <c r="I63" s="140"/>
    </row>
    <row r="64" spans="1:10" s="11" customFormat="1" ht="12" customHeight="1">
      <c r="A64" s="15">
        <v>79</v>
      </c>
      <c r="B64" s="101" t="s">
        <v>15</v>
      </c>
      <c r="C64" s="116" t="s">
        <v>41</v>
      </c>
      <c r="D64" s="13">
        <v>1</v>
      </c>
      <c r="E64" s="22" t="str">
        <f>IF($F60&gt;$H60,$I60,IF($F60&lt;$H60,$E60,"Verlierer 77"))</f>
        <v>TSV Langquaid/Australien</v>
      </c>
      <c r="F64" s="38">
        <v>2</v>
      </c>
      <c r="G64" s="13" t="s">
        <v>5</v>
      </c>
      <c r="H64" s="38">
        <v>1</v>
      </c>
      <c r="I64" s="24" t="str">
        <f>IF($F61&gt;$H61,$I61,IF($F61&lt;$H61,$E61,"Verlierer 78"))</f>
        <v>SV Gündlkofen/Südafrika</v>
      </c>
    </row>
    <row r="65" spans="1:9" s="11" customFormat="1" ht="12" customHeight="1">
      <c r="B65" s="102"/>
      <c r="C65" s="116"/>
      <c r="D65" s="13"/>
    </row>
    <row r="66" spans="1:9" s="11" customFormat="1" ht="18" customHeight="1">
      <c r="A66" s="140" t="s">
        <v>60</v>
      </c>
      <c r="B66" s="140"/>
      <c r="C66" s="140"/>
      <c r="D66" s="140"/>
      <c r="E66" s="140"/>
      <c r="F66" s="140"/>
      <c r="G66" s="140"/>
      <c r="H66" s="140"/>
      <c r="I66" s="140"/>
    </row>
    <row r="67" spans="1:9" s="11" customFormat="1" ht="12" customHeight="1">
      <c r="A67" s="15">
        <v>80</v>
      </c>
      <c r="B67" s="101" t="s">
        <v>15</v>
      </c>
      <c r="C67" s="116" t="s">
        <v>41</v>
      </c>
      <c r="D67" s="13">
        <v>2</v>
      </c>
      <c r="E67" s="22" t="str">
        <f>IF($F60&lt;$H60,$I60,IF($F60&gt;$H60,$E60,"Sieger 77"))</f>
        <v>FC Ergolding/Brasilien</v>
      </c>
      <c r="F67" s="38">
        <v>3</v>
      </c>
      <c r="G67" s="13" t="s">
        <v>5</v>
      </c>
      <c r="H67" s="38">
        <v>2</v>
      </c>
      <c r="I67" s="24" t="str">
        <f>IF($F61&lt;$H61,$I61,IF($F61&gt;$H61,$E61,"Sieger 78"))</f>
        <v>SV Münchnerau/Ghana</v>
      </c>
    </row>
    <row r="68" spans="1:9" s="11" customFormat="1" ht="12" customHeight="1">
      <c r="B68" s="102"/>
      <c r="C68" s="116"/>
      <c r="D68" s="13"/>
    </row>
    <row r="69" spans="1:9" s="20" customFormat="1" ht="15.9" customHeight="1">
      <c r="A69" s="141" t="s">
        <v>61</v>
      </c>
      <c r="B69" s="142"/>
      <c r="C69" s="142"/>
      <c r="D69" s="142"/>
      <c r="E69" s="142"/>
      <c r="F69" s="142"/>
      <c r="G69" s="142"/>
      <c r="H69" s="142"/>
      <c r="I69" s="143"/>
    </row>
    <row r="70" spans="1:9" s="20" customFormat="1" ht="15.9" customHeight="1">
      <c r="A70" s="144"/>
      <c r="B70" s="145"/>
      <c r="C70" s="145"/>
      <c r="D70" s="145"/>
      <c r="E70" s="145"/>
      <c r="F70" s="145"/>
      <c r="G70" s="145"/>
      <c r="H70" s="145"/>
      <c r="I70" s="146"/>
    </row>
    <row r="71" spans="1:9" s="20" customFormat="1" ht="15.9" customHeight="1">
      <c r="A71" s="148" t="str">
        <f>IF(OR(ISBLANK(F67),ISBLANK(H67)),"",IF(F67&gt;H67,E67,I67))</f>
        <v>FC Ergolding/Brasilien</v>
      </c>
      <c r="B71" s="149"/>
      <c r="C71" s="149"/>
      <c r="D71" s="149"/>
      <c r="E71" s="149"/>
      <c r="F71" s="149"/>
      <c r="G71" s="149"/>
      <c r="H71" s="149"/>
      <c r="I71" s="150"/>
    </row>
    <row r="72" spans="1:9" s="20" customFormat="1" ht="45" customHeight="1">
      <c r="A72" s="151"/>
      <c r="B72" s="152"/>
      <c r="C72" s="152"/>
      <c r="D72" s="152"/>
      <c r="E72" s="152"/>
      <c r="F72" s="152"/>
      <c r="G72" s="152"/>
      <c r="H72" s="152"/>
      <c r="I72" s="153"/>
    </row>
  </sheetData>
  <sheetProtection selectLockedCells="1"/>
  <mergeCells count="19">
    <mergeCell ref="A27:I27"/>
    <mergeCell ref="A30:I30"/>
    <mergeCell ref="A53:I53"/>
    <mergeCell ref="A66:I66"/>
    <mergeCell ref="A69:I70"/>
    <mergeCell ref="A4:I4"/>
    <mergeCell ref="A3:I3"/>
    <mergeCell ref="A71:I72"/>
    <mergeCell ref="A63:I63"/>
    <mergeCell ref="A7:I7"/>
    <mergeCell ref="A43:I43"/>
    <mergeCell ref="A59:I59"/>
    <mergeCell ref="A17:I17"/>
    <mergeCell ref="A56:I56"/>
    <mergeCell ref="A37:I37"/>
    <mergeCell ref="A40:I40"/>
    <mergeCell ref="A33:I33"/>
    <mergeCell ref="A49:I49"/>
    <mergeCell ref="A23:I23"/>
  </mergeCells>
  <phoneticPr fontId="0" type="noConversion"/>
  <dataValidations count="1">
    <dataValidation type="whole" operator="greaterThanOrEqual" allowBlank="1" showErrorMessage="1" sqref="F67 F8:F15 H8:H15 H44:H48 F44:F48 F52 H52 F60:F61 H60:H61 F64 H64 H67" xr:uid="{00000000-0002-0000-0100-000000000000}">
      <formula1>0</formula1>
    </dataValidation>
  </dataValidations>
  <printOptions horizontalCentered="1"/>
  <pageMargins left="0.35" right="0.32" top="0.28999999999999998" bottom="0.31" header="0.34" footer="0.25"/>
  <pageSetup paperSize="8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9"/>
  </sheetPr>
  <dimension ref="A1:DC67"/>
  <sheetViews>
    <sheetView topLeftCell="F21" workbookViewId="0">
      <selection activeCell="A2" sqref="A2"/>
    </sheetView>
  </sheetViews>
  <sheetFormatPr baseColWidth="10" defaultColWidth="11.44140625" defaultRowHeight="10.199999999999999"/>
  <cols>
    <col min="1" max="1" width="17.109375" style="1" bestFit="1" customWidth="1"/>
    <col min="2" max="3" width="5" style="1" customWidth="1"/>
    <col min="4" max="4" width="17.109375" style="1" bestFit="1" customWidth="1"/>
    <col min="5" max="6" width="0.6640625" style="3" customWidth="1"/>
    <col min="7" max="7" width="7.109375" style="3" customWidth="1"/>
    <col min="8" max="8" width="4" style="3" bestFit="1" customWidth="1"/>
    <col min="9" max="10" width="3.5546875" style="3" customWidth="1"/>
    <col min="11" max="11" width="4" style="3" bestFit="1" customWidth="1"/>
    <col min="12" max="13" width="0.6640625" style="3" customWidth="1"/>
    <col min="14" max="14" width="7.33203125" style="3" customWidth="1"/>
    <col min="15" max="18" width="4.109375" style="1" bestFit="1" customWidth="1"/>
    <col min="19" max="20" width="0.6640625" style="3" customWidth="1"/>
    <col min="21" max="21" width="2.5546875" style="1" customWidth="1"/>
    <col min="22" max="22" width="24" style="1" bestFit="1" customWidth="1"/>
    <col min="23" max="23" width="9.33203125" style="1" bestFit="1" customWidth="1"/>
    <col min="24" max="24" width="5.6640625" style="1" bestFit="1" customWidth="1"/>
    <col min="25" max="25" width="4.33203125" style="1" bestFit="1" customWidth="1"/>
    <col min="26" max="26" width="4.44140625" style="1" bestFit="1" customWidth="1"/>
    <col min="27" max="27" width="4.33203125" style="1" bestFit="1" customWidth="1"/>
    <col min="28" max="28" width="0.6640625" style="1" customWidth="1"/>
    <col min="29" max="29" width="0.6640625" style="3" customWidth="1"/>
    <col min="30" max="30" width="12.88671875" style="3" customWidth="1"/>
    <col min="31" max="32" width="0.6640625" style="3" customWidth="1"/>
    <col min="33" max="33" width="18.44140625" style="3" customWidth="1"/>
    <col min="34" max="34" width="8.5546875" style="1" customWidth="1"/>
    <col min="35" max="35" width="3.5546875" style="1" customWidth="1"/>
    <col min="36" max="37" width="0.6640625" style="1" customWidth="1"/>
    <col min="38" max="38" width="9.33203125" style="1" customWidth="1"/>
    <col min="39" max="39" width="8.5546875" style="1" customWidth="1"/>
    <col min="40" max="40" width="8.5546875" style="3" customWidth="1"/>
    <col min="41" max="42" width="0.6640625" style="1" customWidth="1"/>
    <col min="43" max="43" width="7.44140625" style="1" customWidth="1"/>
    <col min="44" max="44" width="5.5546875" style="3" customWidth="1"/>
    <col min="45" max="45" width="11.33203125" style="3" customWidth="1"/>
    <col min="46" max="46" width="6.5546875" style="1" bestFit="1" customWidth="1"/>
    <col min="47" max="47" width="8.5546875" style="1" customWidth="1"/>
    <col min="48" max="49" width="0.6640625" style="1" customWidth="1"/>
    <col min="50" max="50" width="14.88671875" style="3" customWidth="1"/>
    <col min="51" max="51" width="4.109375" style="3" bestFit="1" customWidth="1"/>
    <col min="52" max="53" width="4.109375" style="1" bestFit="1" customWidth="1"/>
    <col min="54" max="54" width="10" style="1" customWidth="1"/>
    <col min="55" max="55" width="3.5546875" style="1" customWidth="1"/>
    <col min="56" max="56" width="3.109375" style="1" customWidth="1"/>
    <col min="57" max="57" width="3.33203125" style="1" customWidth="1"/>
    <col min="58" max="58" width="13.33203125" style="1" customWidth="1"/>
    <col min="59" max="59" width="9.33203125" style="1" customWidth="1"/>
    <col min="60" max="77" width="11.44140625" style="1"/>
    <col min="78" max="79" width="11.44140625" style="3"/>
    <col min="80" max="88" width="11.44140625" style="1"/>
    <col min="89" max="90" width="11.44140625" style="3"/>
    <col min="91" max="92" width="11.44140625" style="1"/>
    <col min="93" max="97" width="11.44140625" style="3"/>
    <col min="98" max="100" width="11.44140625" style="1"/>
    <col min="101" max="107" width="11.44140625" style="3"/>
    <col min="108" max="16384" width="11.44140625" style="1"/>
  </cols>
  <sheetData>
    <row r="1" spans="1:107" s="41" customFormat="1" ht="21" thickBot="1">
      <c r="A1" s="169" t="s">
        <v>62</v>
      </c>
      <c r="B1" s="169"/>
      <c r="C1" s="169"/>
      <c r="D1" s="169"/>
      <c r="E1" s="40"/>
      <c r="F1" s="138"/>
      <c r="G1" s="169" t="s">
        <v>63</v>
      </c>
      <c r="H1" s="169"/>
      <c r="I1" s="169"/>
      <c r="J1" s="169"/>
      <c r="K1" s="169"/>
      <c r="L1" s="40"/>
      <c r="M1" s="138"/>
      <c r="N1" s="169" t="s">
        <v>64</v>
      </c>
      <c r="O1" s="169"/>
      <c r="P1" s="169"/>
      <c r="Q1" s="169"/>
      <c r="R1" s="169"/>
      <c r="S1" s="40"/>
      <c r="T1" s="138"/>
      <c r="V1" s="41" t="s">
        <v>65</v>
      </c>
      <c r="AB1" s="40"/>
      <c r="AC1" s="138"/>
      <c r="AD1" s="98" t="s">
        <v>66</v>
      </c>
      <c r="AE1" s="40"/>
      <c r="AF1" s="138"/>
      <c r="AJ1" s="40"/>
      <c r="AK1" s="138"/>
      <c r="AL1" s="170" t="s">
        <v>67</v>
      </c>
      <c r="AM1" s="170"/>
      <c r="AN1" s="170"/>
      <c r="AO1" s="40"/>
      <c r="AP1" s="138"/>
      <c r="AQ1" s="41" t="s">
        <v>68</v>
      </c>
      <c r="AV1" s="40"/>
      <c r="AW1" s="138"/>
      <c r="AX1" s="41" t="s">
        <v>69</v>
      </c>
    </row>
    <row r="2" spans="1:107" ht="125.25" customHeight="1">
      <c r="E2" s="42"/>
      <c r="L2" s="42"/>
      <c r="S2" s="42"/>
      <c r="AB2" s="42"/>
      <c r="AE2" s="42"/>
      <c r="AG2" s="1"/>
      <c r="AJ2" s="42"/>
      <c r="AK2" s="3"/>
      <c r="AL2" s="3"/>
      <c r="AM2" s="43"/>
      <c r="AN2" s="1"/>
      <c r="AO2" s="42"/>
      <c r="AP2" s="3"/>
      <c r="AQ2" s="47"/>
      <c r="AR2" s="48" t="s">
        <v>64</v>
      </c>
      <c r="AS2" s="48" t="s">
        <v>70</v>
      </c>
      <c r="AT2" s="48" t="s">
        <v>71</v>
      </c>
      <c r="AU2" s="48" t="s">
        <v>72</v>
      </c>
      <c r="AV2" s="42"/>
      <c r="AW2" s="3"/>
      <c r="AX2" s="1"/>
      <c r="AY2" s="1"/>
      <c r="BZ2" s="1"/>
      <c r="CA2" s="1"/>
      <c r="CK2" s="1"/>
      <c r="CL2" s="1"/>
      <c r="CO2" s="1"/>
      <c r="CP2" s="1"/>
      <c r="CQ2" s="1"/>
      <c r="CR2" s="1"/>
      <c r="CS2" s="1"/>
      <c r="CW2" s="1"/>
      <c r="CX2" s="1"/>
      <c r="CY2" s="1"/>
      <c r="CZ2" s="1"/>
      <c r="DA2" s="1"/>
      <c r="DB2" s="1"/>
      <c r="DC2" s="1"/>
    </row>
    <row r="3" spans="1:107" s="44" customFormat="1" ht="42.75" customHeight="1" thickBot="1">
      <c r="E3" s="45"/>
      <c r="F3" s="137"/>
      <c r="G3" s="137"/>
      <c r="H3" s="137"/>
      <c r="I3" s="137"/>
      <c r="J3" s="137"/>
      <c r="K3" s="137"/>
      <c r="L3" s="45"/>
      <c r="M3" s="137"/>
      <c r="N3" s="137"/>
      <c r="S3" s="45"/>
      <c r="T3" s="137"/>
      <c r="AB3" s="45"/>
      <c r="AC3" s="137"/>
      <c r="AD3" s="137"/>
      <c r="AE3" s="45"/>
      <c r="AF3" s="137"/>
      <c r="AG3" s="46" t="s">
        <v>73</v>
      </c>
      <c r="AH3" s="46" t="s">
        <v>74</v>
      </c>
      <c r="AJ3" s="45"/>
      <c r="AK3" s="137"/>
      <c r="AL3" s="46" t="s">
        <v>75</v>
      </c>
      <c r="AM3" s="46" t="s">
        <v>76</v>
      </c>
      <c r="AN3" s="46" t="s">
        <v>72</v>
      </c>
      <c r="AO3" s="45"/>
      <c r="AP3" s="137"/>
      <c r="AQ3" s="46" t="s">
        <v>77</v>
      </c>
      <c r="AR3" s="168" t="s">
        <v>78</v>
      </c>
      <c r="AS3" s="168"/>
      <c r="AT3" s="168"/>
      <c r="AU3" s="46"/>
      <c r="AV3" s="45"/>
      <c r="AW3" s="137"/>
      <c r="AX3" s="44" t="s">
        <v>79</v>
      </c>
      <c r="AY3" s="167" t="s">
        <v>80</v>
      </c>
      <c r="AZ3" s="167"/>
      <c r="BA3" s="167"/>
      <c r="BB3" s="98" t="s">
        <v>81</v>
      </c>
      <c r="BC3" s="168" t="s">
        <v>82</v>
      </c>
      <c r="BD3" s="168"/>
      <c r="BE3" s="168"/>
    </row>
    <row r="4" spans="1:107">
      <c r="A4" s="7" t="str">
        <f>Text!B2</f>
        <v>GRUPPE A</v>
      </c>
      <c r="E4" s="42"/>
      <c r="L4" s="42"/>
      <c r="S4" s="42"/>
      <c r="AB4" s="42"/>
      <c r="AE4" s="42"/>
      <c r="AG4" s="43"/>
      <c r="AH4" s="43"/>
      <c r="AJ4" s="42"/>
      <c r="AK4" s="3"/>
      <c r="AL4" s="43"/>
      <c r="AM4" s="43"/>
      <c r="AN4" s="43"/>
      <c r="AO4" s="42"/>
      <c r="AP4" s="3"/>
      <c r="AQ4" s="43"/>
      <c r="AR4" s="166"/>
      <c r="AS4" s="166"/>
      <c r="AT4" s="166"/>
      <c r="AU4" s="43"/>
      <c r="AV4" s="42"/>
      <c r="AW4" s="3"/>
      <c r="AX4" s="1"/>
      <c r="AY4" s="165"/>
      <c r="AZ4" s="165"/>
      <c r="BA4" s="165"/>
      <c r="BB4" s="7"/>
      <c r="BC4" s="166"/>
      <c r="BD4" s="166"/>
      <c r="BE4" s="166"/>
      <c r="BZ4" s="1"/>
      <c r="CA4" s="1"/>
      <c r="CK4" s="1"/>
      <c r="CL4" s="1"/>
      <c r="CO4" s="1"/>
      <c r="CP4" s="1"/>
      <c r="CQ4" s="1"/>
      <c r="CR4" s="1"/>
      <c r="CS4" s="1"/>
      <c r="CW4" s="1"/>
      <c r="CX4" s="1"/>
      <c r="CY4" s="1"/>
      <c r="CZ4" s="1"/>
      <c r="DA4" s="1"/>
      <c r="DB4" s="1"/>
      <c r="DC4" s="1"/>
    </row>
    <row r="5" spans="1:107" ht="52.8">
      <c r="A5" s="49" t="str">
        <f>Vorrunde!E8</f>
        <v>TSV 1946 Bayerbach/Österreich</v>
      </c>
      <c r="B5" s="50">
        <f>IF(ISNUMBER(Vorrunde!H8),Vorrunde!H8,"")</f>
        <v>0</v>
      </c>
      <c r="C5" s="50">
        <f>IF(ISNUMBER(Vorrunde!J8),Vorrunde!J8,"")</f>
        <v>0</v>
      </c>
      <c r="D5" s="51" t="str">
        <f>Vorrunde!G8</f>
        <v>TSV Langquaid/Australien</v>
      </c>
      <c r="E5" s="52"/>
      <c r="F5" s="53"/>
      <c r="G5" s="54">
        <f>SUM(H6:K9)</f>
        <v>14</v>
      </c>
      <c r="H5" s="55" t="str">
        <f>Text!A3</f>
        <v>Österreich</v>
      </c>
      <c r="I5" s="56" t="str">
        <f>Text!A4</f>
        <v>Australien</v>
      </c>
      <c r="J5" s="56" t="str">
        <f>Text!A5</f>
        <v>Saudi-Arabien</v>
      </c>
      <c r="K5" s="57" t="str">
        <f>Text!A6</f>
        <v>Senegal</v>
      </c>
      <c r="L5" s="52"/>
      <c r="M5" s="53"/>
      <c r="N5" s="54">
        <f>SUM(O6:R9)</f>
        <v>17</v>
      </c>
      <c r="O5" s="55" t="str">
        <f>Text!A3</f>
        <v>Österreich</v>
      </c>
      <c r="P5" s="56" t="str">
        <f>Text!A4</f>
        <v>Australien</v>
      </c>
      <c r="Q5" s="56" t="str">
        <f>Text!A5</f>
        <v>Saudi-Arabien</v>
      </c>
      <c r="R5" s="57" t="str">
        <f>Text!A6</f>
        <v>Senegal</v>
      </c>
      <c r="S5" s="52"/>
      <c r="T5" s="53"/>
      <c r="W5" s="58" t="str">
        <f>Text!A$64</f>
        <v>Sp.</v>
      </c>
      <c r="X5" s="59" t="str">
        <f>Text!A$65</f>
        <v>Pkte.</v>
      </c>
      <c r="Y5" s="59" t="str">
        <f>Text!A$66</f>
        <v>T</v>
      </c>
      <c r="Z5" s="59" t="str">
        <f>Text!A$67</f>
        <v>GT</v>
      </c>
      <c r="AA5" s="60" t="str">
        <f>Text!A$68</f>
        <v>Diff.</v>
      </c>
      <c r="AB5" s="52"/>
      <c r="AC5" s="53"/>
      <c r="AE5" s="52"/>
      <c r="AF5" s="53"/>
      <c r="AG5" s="1"/>
      <c r="AJ5" s="52"/>
      <c r="AK5" s="53"/>
      <c r="AL5" s="53"/>
      <c r="AN5" s="1"/>
      <c r="AO5" s="52"/>
      <c r="AP5" s="53"/>
      <c r="AQ5" s="61">
        <f>MATCH(1,AH6:AH9,0)</f>
        <v>1</v>
      </c>
      <c r="AR5" s="1"/>
      <c r="AS5" s="1"/>
      <c r="AV5" s="52"/>
      <c r="AW5" s="53"/>
      <c r="AX5" s="43"/>
      <c r="AY5" s="1"/>
      <c r="BZ5" s="1"/>
      <c r="CA5" s="1"/>
      <c r="CK5" s="1"/>
      <c r="CL5" s="1"/>
      <c r="CO5" s="1"/>
      <c r="CP5" s="1"/>
      <c r="CQ5" s="1"/>
      <c r="CR5" s="1"/>
      <c r="CS5" s="1"/>
      <c r="CW5" s="1"/>
      <c r="CX5" s="1"/>
      <c r="CY5" s="1"/>
      <c r="CZ5" s="1"/>
      <c r="DA5" s="1"/>
      <c r="DB5" s="1"/>
      <c r="DC5" s="1"/>
    </row>
    <row r="6" spans="1:107">
      <c r="A6" s="62" t="str">
        <f>Vorrunde!E9</f>
        <v>FC Bonbruck/Bodenkirchen/Saudi-Arabien</v>
      </c>
      <c r="B6" s="3">
        <f>IF(ISNUMBER(Vorrunde!H9),Vorrunde!H9,"")</f>
        <v>1</v>
      </c>
      <c r="C6" s="3">
        <f>IF(ISNUMBER(Vorrunde!J9),Vorrunde!J9,"")</f>
        <v>0</v>
      </c>
      <c r="D6" s="63" t="str">
        <f>Vorrunde!G9</f>
        <v>SG Weihmichl/Neuhausen/Senegal</v>
      </c>
      <c r="E6" s="42"/>
      <c r="G6" s="64" t="str">
        <f>Text!A3</f>
        <v>Österreich</v>
      </c>
      <c r="H6" s="65"/>
      <c r="I6" s="66">
        <f>B5</f>
        <v>0</v>
      </c>
      <c r="J6" s="66">
        <f>B7</f>
        <v>2</v>
      </c>
      <c r="K6" s="67">
        <f>C9</f>
        <v>2</v>
      </c>
      <c r="L6" s="42"/>
      <c r="N6" s="64" t="str">
        <f>Text!A3</f>
        <v>Österreich</v>
      </c>
      <c r="O6" s="65"/>
      <c r="P6" s="66">
        <f>IF(AND(ISNUMBER(I6),ISNUMBER(H7)),IF(I6&gt;H7,3,IF(I6=H7,1,0)),0)</f>
        <v>1</v>
      </c>
      <c r="Q6" s="66">
        <f>IF(AND(ISNUMBER(J6),ISNUMBER(H8)),IF(J6&gt;H8,3,IF(J6=H8,1,0)),0)</f>
        <v>3</v>
      </c>
      <c r="R6" s="67">
        <f>IF(AND(ISNUMBER(K6),ISNUMBER(H9)),IF(K6&gt;H9,3,IF(K6=H9,1,0)),0)</f>
        <v>3</v>
      </c>
      <c r="S6" s="42"/>
      <c r="U6" s="1">
        <v>1</v>
      </c>
      <c r="V6" s="68" t="str">
        <f>Text!B3</f>
        <v>TSV 1946 Bayerbach/Österreich</v>
      </c>
      <c r="W6" s="69">
        <f>IF(COUNT(H6:K6)=COUNT(H6:H9),COUNT(H6:H9),"")</f>
        <v>3</v>
      </c>
      <c r="X6" s="66">
        <f>SUM(O6:R6)</f>
        <v>7</v>
      </c>
      <c r="Y6" s="66">
        <f>SUM(H6:K6)</f>
        <v>4</v>
      </c>
      <c r="Z6" s="66">
        <f>SUM(H6:H9)</f>
        <v>0</v>
      </c>
      <c r="AA6" s="67">
        <f>Y6-Z6</f>
        <v>4</v>
      </c>
      <c r="AB6" s="42"/>
      <c r="AD6" s="70">
        <f>BB6</f>
        <v>1</v>
      </c>
      <c r="AE6" s="42"/>
      <c r="AG6" s="68">
        <f>X6*10000+AA6*100+Y6</f>
        <v>70404</v>
      </c>
      <c r="AH6" s="68">
        <f>COUNTIF(AG6:AG9,AG6)</f>
        <v>1</v>
      </c>
      <c r="AI6" s="68" t="str">
        <f>IF(AH6=1,"x","")</f>
        <v>x</v>
      </c>
      <c r="AJ6" s="42"/>
      <c r="AK6" s="3"/>
      <c r="AL6" s="68">
        <f>IF(AI6="x",1,IF(AG7=AG6,2,IF(AG8=AG6,3,4)))</f>
        <v>1</v>
      </c>
      <c r="AM6" s="68">
        <f>INDEX(O6:R6,1,AL6)</f>
        <v>0</v>
      </c>
      <c r="AN6" s="71">
        <f>IF(OR(AH10=2,AH10=4),AM6/10,0)</f>
        <v>0</v>
      </c>
      <c r="AO6" s="42"/>
      <c r="AP6" s="3"/>
      <c r="AQ6" s="3"/>
      <c r="AR6" s="69">
        <f>X6-INDEX(O6:R6,1,AQ5)</f>
        <v>7</v>
      </c>
      <c r="AS6" s="68">
        <f>AA6-(INDEX(H6:K6,1,AQ5)-INDEX(H6:H9,AQ5,1))</f>
        <v>4</v>
      </c>
      <c r="AT6" s="69">
        <f>Y6-INDEX(H6:K6,1,AQ5)</f>
        <v>4</v>
      </c>
      <c r="AU6" s="71">
        <f>IF(OR(AH10&lt;&gt;3,AI6="x"),0,AR6/10+AS6/1000+AT6/100000)</f>
        <v>0</v>
      </c>
      <c r="AV6" s="42"/>
      <c r="AW6" s="3"/>
      <c r="AX6" s="71">
        <f>AG6+AN6+AU6</f>
        <v>70404</v>
      </c>
      <c r="AY6" s="69">
        <f>IF(INDEX(AX6:AX9,U6)&gt;=INDEX(AX6:AX9,U7),U6,U7)</f>
        <v>1</v>
      </c>
      <c r="AZ6" s="66">
        <f>IF(INDEX(AX6:AX9,AY6)&gt;=INDEX(AX6:AX9,AY8),AY6,AY8)</f>
        <v>1</v>
      </c>
      <c r="BA6" s="67">
        <f>IF(INDEX(AX6:AX9,AZ6)&gt;=INDEX(AX6:AX9,AZ9),AZ6,AZ9)</f>
        <v>1</v>
      </c>
      <c r="BB6" s="70">
        <f>MATCH(U6,BA6:BA9,0)</f>
        <v>1</v>
      </c>
      <c r="BC6" s="69">
        <f>COUNTIF(AX6:AX9,AX6)</f>
        <v>1</v>
      </c>
      <c r="BD6" s="67" t="str">
        <f>IF(BC6=1,"x","")</f>
        <v>x</v>
      </c>
      <c r="BE6" s="68">
        <f>(BD6="x")*BB6</f>
        <v>1</v>
      </c>
      <c r="BZ6" s="1"/>
      <c r="CA6" s="1"/>
      <c r="CK6" s="1"/>
      <c r="CL6" s="1"/>
      <c r="CO6" s="1"/>
      <c r="CP6" s="1"/>
      <c r="CQ6" s="1"/>
      <c r="CR6" s="1"/>
      <c r="CS6" s="1"/>
      <c r="CW6" s="1"/>
      <c r="CX6" s="1"/>
      <c r="CY6" s="1"/>
      <c r="CZ6" s="1"/>
      <c r="DA6" s="1"/>
      <c r="DB6" s="1"/>
      <c r="DC6" s="1"/>
    </row>
    <row r="7" spans="1:107">
      <c r="A7" s="62" t="str">
        <f>Vorrunde!E10</f>
        <v>TSV 1946 Bayerbach/Österreich</v>
      </c>
      <c r="B7" s="3">
        <f>IF(ISNUMBER(Vorrunde!H10),Vorrunde!H10,"")</f>
        <v>2</v>
      </c>
      <c r="C7" s="3">
        <f>IF(ISNUMBER(Vorrunde!J10),Vorrunde!J10,"")</f>
        <v>0</v>
      </c>
      <c r="D7" s="63" t="str">
        <f>Vorrunde!G10</f>
        <v>FC Bonbruck/Bodenkirchen/Saudi-Arabien</v>
      </c>
      <c r="E7" s="42"/>
      <c r="G7" s="72" t="str">
        <f>Text!A4</f>
        <v>Australien</v>
      </c>
      <c r="H7" s="73">
        <f>C5</f>
        <v>0</v>
      </c>
      <c r="I7" s="74"/>
      <c r="J7" s="1">
        <f>B10</f>
        <v>1</v>
      </c>
      <c r="K7" s="75">
        <f>C8</f>
        <v>5</v>
      </c>
      <c r="L7" s="42"/>
      <c r="N7" s="72" t="str">
        <f>Text!A4</f>
        <v>Australien</v>
      </c>
      <c r="O7" s="73">
        <f>IF(AND(ISNUMBER(H7),ISNUMBER(I6)),IF(H7&gt;I6,3,IF(H7=I6,1,0)),0)</f>
        <v>1</v>
      </c>
      <c r="P7" s="74"/>
      <c r="Q7" s="1">
        <f>IF(AND(ISNUMBER(J7),ISNUMBER(I8)),IF(J7&gt;I8,3,IF(J7=I8,1,0)),0)</f>
        <v>0</v>
      </c>
      <c r="R7" s="75">
        <f>IF(AND(ISNUMBER(K7),ISNUMBER(I9)),IF(K7&gt;I9,3,IF(K7=I9,1,0)),0)</f>
        <v>3</v>
      </c>
      <c r="S7" s="42"/>
      <c r="U7" s="1">
        <v>2</v>
      </c>
      <c r="V7" s="76" t="str">
        <f>Text!B4</f>
        <v>TSV Langquaid/Australien</v>
      </c>
      <c r="W7" s="73">
        <f>IF(COUNT(H7:K7)=COUNT(I6:I9),COUNT(I6:I9),"")</f>
        <v>3</v>
      </c>
      <c r="X7" s="1">
        <f>SUM(O7:R7)</f>
        <v>4</v>
      </c>
      <c r="Y7" s="1">
        <f>SUM(H7:K7)</f>
        <v>6</v>
      </c>
      <c r="Z7" s="1">
        <f>SUM(I6:I9)</f>
        <v>3</v>
      </c>
      <c r="AA7" s="75">
        <f>Y7-Z7</f>
        <v>3</v>
      </c>
      <c r="AB7" s="42"/>
      <c r="AD7" s="77">
        <f>BB7</f>
        <v>3</v>
      </c>
      <c r="AE7" s="42"/>
      <c r="AG7" s="76">
        <f>X7*10000+AA7*100+Y7</f>
        <v>40306</v>
      </c>
      <c r="AH7" s="76">
        <f>COUNTIF(AG6:AG9,AG7)</f>
        <v>1</v>
      </c>
      <c r="AI7" s="76" t="str">
        <f>IF(AH7=1,"x","")</f>
        <v>x</v>
      </c>
      <c r="AJ7" s="42"/>
      <c r="AK7" s="3"/>
      <c r="AL7" s="76">
        <f>IF(AI7="x",2,IF(AG8=AG7,3,IF(AG9=AG7,4,1)))</f>
        <v>2</v>
      </c>
      <c r="AM7" s="76">
        <f>INDEX(O7:R7,1,AL7)</f>
        <v>0</v>
      </c>
      <c r="AN7" s="78">
        <f>IF(OR(AH10=2,AH10=4),AM7/10,0)</f>
        <v>0</v>
      </c>
      <c r="AO7" s="42"/>
      <c r="AP7" s="3"/>
      <c r="AQ7" s="3"/>
      <c r="AR7" s="73">
        <f>X7-INDEX(O7:R7,1,AQ5)</f>
        <v>3</v>
      </c>
      <c r="AS7" s="76">
        <f>AA7-(INDEX(H7:K7,1,AQ5)-INDEX(I6:I9,AQ5))</f>
        <v>3</v>
      </c>
      <c r="AT7" s="73">
        <f>Y7-INDEX(H7:K7,1,AQ5)</f>
        <v>6</v>
      </c>
      <c r="AU7" s="78">
        <f>IF(OR(AH10&lt;&gt;3,AI7="x"),0,AR7/10+AS7/1000+AT7/100000)</f>
        <v>0</v>
      </c>
      <c r="AV7" s="42"/>
      <c r="AW7" s="3"/>
      <c r="AX7" s="78">
        <f>AG7+AN7+AU7</f>
        <v>40306</v>
      </c>
      <c r="AY7" s="73">
        <f>IF(INDEX(AX6:AX9,U7)&lt;=INDEX(AX6:AX9,U6),U7,U6)</f>
        <v>2</v>
      </c>
      <c r="AZ7" s="1">
        <f>IF(INDEX(AX6:AX9,AY7)&gt;=INDEX(AX6:AX9,AY9),AY7,AY9)</f>
        <v>2</v>
      </c>
      <c r="BA7" s="75">
        <f>IF(INDEX(AX6:AX9,AZ7)&gt;=INDEX(AX6:AX9,AZ8),AZ7,AZ8)</f>
        <v>3</v>
      </c>
      <c r="BB7" s="77">
        <f>MATCH(U7,BA6:BA9,0)</f>
        <v>3</v>
      </c>
      <c r="BC7" s="73">
        <f>COUNTIF(AX6:AX9,AX7)</f>
        <v>1</v>
      </c>
      <c r="BD7" s="75" t="str">
        <f>IF(BC7=1,"x","")</f>
        <v>x</v>
      </c>
      <c r="BE7" s="76">
        <f>(BD7="x")*BB7</f>
        <v>3</v>
      </c>
      <c r="BZ7" s="1"/>
      <c r="CA7" s="1"/>
      <c r="CK7" s="1"/>
      <c r="CL7" s="1"/>
      <c r="CO7" s="1"/>
      <c r="CP7" s="1"/>
      <c r="CQ7" s="1"/>
      <c r="CR7" s="1"/>
      <c r="CS7" s="1"/>
      <c r="CW7" s="1"/>
      <c r="CX7" s="1"/>
      <c r="CY7" s="1"/>
      <c r="CZ7" s="1"/>
      <c r="DA7" s="1"/>
      <c r="DB7" s="1"/>
      <c r="DC7" s="1"/>
    </row>
    <row r="8" spans="1:107">
      <c r="A8" s="62" t="str">
        <f>Vorrunde!E11</f>
        <v>SG Weihmichl/Neuhausen/Senegal</v>
      </c>
      <c r="B8" s="3">
        <f>IF(ISNUMBER(Vorrunde!H11),Vorrunde!H11,"")</f>
        <v>1</v>
      </c>
      <c r="C8" s="3">
        <f>IF(ISNUMBER(Vorrunde!J11),Vorrunde!J11,"")</f>
        <v>5</v>
      </c>
      <c r="D8" s="63" t="str">
        <f>Vorrunde!G11</f>
        <v>TSV Langquaid/Australien</v>
      </c>
      <c r="E8" s="42"/>
      <c r="G8" s="72" t="str">
        <f>Text!A5</f>
        <v>Saudi-Arabien</v>
      </c>
      <c r="H8" s="73">
        <f>C7</f>
        <v>0</v>
      </c>
      <c r="I8" s="1">
        <f>C10</f>
        <v>2</v>
      </c>
      <c r="J8" s="74"/>
      <c r="K8" s="75">
        <f>B6</f>
        <v>1</v>
      </c>
      <c r="L8" s="42"/>
      <c r="N8" s="72" t="str">
        <f>Text!A5</f>
        <v>Saudi-Arabien</v>
      </c>
      <c r="O8" s="73">
        <f>IF(AND(ISNUMBER(H8),ISNUMBER(J6)),IF(H8&gt;J6,3,IF(H8=J6,1,0)),0)</f>
        <v>0</v>
      </c>
      <c r="P8" s="1">
        <f>IF(AND(ISNUMBER(I8),ISNUMBER(J7)),IF(I8&gt;J7,3,IF(I8=J7,1,0)),0)</f>
        <v>3</v>
      </c>
      <c r="Q8" s="74"/>
      <c r="R8" s="75">
        <f>IF(AND(ISNUMBER(K8),ISNUMBER(J9)),IF(K8&gt;J9,3,IF(K8=J9,1,0)),0)</f>
        <v>3</v>
      </c>
      <c r="S8" s="42"/>
      <c r="U8" s="1">
        <v>3</v>
      </c>
      <c r="V8" s="76" t="str">
        <f>Text!B5</f>
        <v>FC Bonbruck/Bodenkirchen/Saudi-Arabien</v>
      </c>
      <c r="W8" s="73">
        <f>IF(COUNT(H8:K8)=COUNT(J6:J9),COUNT(J6:J9),"")</f>
        <v>3</v>
      </c>
      <c r="X8" s="1">
        <f>SUM(O8:R8)</f>
        <v>6</v>
      </c>
      <c r="Y8" s="1">
        <f>SUM(H8:K8)</f>
        <v>3</v>
      </c>
      <c r="Z8" s="1">
        <f>SUM(J6:J9)</f>
        <v>3</v>
      </c>
      <c r="AA8" s="75">
        <f>Y8-Z8</f>
        <v>0</v>
      </c>
      <c r="AB8" s="42"/>
      <c r="AD8" s="77">
        <f>BB8</f>
        <v>2</v>
      </c>
      <c r="AE8" s="42"/>
      <c r="AG8" s="76">
        <f>X8*10000+AA8*100+Y8</f>
        <v>60003</v>
      </c>
      <c r="AH8" s="76">
        <f>COUNTIF(AG6:AG9,AG8)</f>
        <v>1</v>
      </c>
      <c r="AI8" s="76" t="str">
        <f>IF(AH8=1,"x","")</f>
        <v>x</v>
      </c>
      <c r="AJ8" s="42"/>
      <c r="AK8" s="3"/>
      <c r="AL8" s="76">
        <f>IF(AI8="x",3,IF(AG9=AG8,4,IF(AG7=AG8,2,1)))</f>
        <v>3</v>
      </c>
      <c r="AM8" s="76">
        <f>INDEX(O8:R8,1,AL8)</f>
        <v>0</v>
      </c>
      <c r="AN8" s="78">
        <f>IF(OR(AH10=2,AH10=4),AM8/10,0)</f>
        <v>0</v>
      </c>
      <c r="AO8" s="42"/>
      <c r="AP8" s="3"/>
      <c r="AQ8" s="3"/>
      <c r="AR8" s="73">
        <f>X8-INDEX(O8:R8,1,AQ5)</f>
        <v>6</v>
      </c>
      <c r="AS8" s="76">
        <f>AA8-(INDEX(H8:K8,1,AQ5)-INDEX(J6:J9,AQ5))</f>
        <v>2</v>
      </c>
      <c r="AT8" s="73">
        <f>Y8-INDEX(H8:K8,1,AQ5)</f>
        <v>3</v>
      </c>
      <c r="AU8" s="78">
        <f>IF(OR(AH10&lt;&gt;3,AI8="x"),0,AR8/10+AS8/1000+AT8/100000)</f>
        <v>0</v>
      </c>
      <c r="AV8" s="42"/>
      <c r="AW8" s="3"/>
      <c r="AX8" s="78">
        <f>AG8+AN8+AU8</f>
        <v>60003</v>
      </c>
      <c r="AY8" s="73">
        <f>IF(INDEX(AX6:AX9,U8)&gt;=INDEX(AX6:AX9,U9),U8,U9)</f>
        <v>3</v>
      </c>
      <c r="AZ8" s="1">
        <f>IF(INDEX(AX6:AX9,AY8)&lt;=INDEX(AX6:AX9,AY6),AY8,AY6)</f>
        <v>3</v>
      </c>
      <c r="BA8" s="75">
        <f>IF(INDEX(AX6:AX9,AZ8)&lt;=INDEX(AX6:AX9,AZ7),AZ8,AZ7)</f>
        <v>2</v>
      </c>
      <c r="BB8" s="77">
        <f>MATCH(U8,BA6:BA9,0)</f>
        <v>2</v>
      </c>
      <c r="BC8" s="73">
        <f>COUNTIF(AX6:AX9,AX8)</f>
        <v>1</v>
      </c>
      <c r="BD8" s="75" t="str">
        <f>IF(BC8=1,"x","")</f>
        <v>x</v>
      </c>
      <c r="BE8" s="76">
        <f>(BD8="x")*BB8</f>
        <v>2</v>
      </c>
      <c r="BZ8" s="1"/>
      <c r="CA8" s="1"/>
      <c r="CK8" s="1"/>
      <c r="CL8" s="1"/>
      <c r="CO8" s="1"/>
      <c r="CP8" s="1"/>
      <c r="CQ8" s="1"/>
      <c r="CR8" s="1"/>
      <c r="CS8" s="1"/>
      <c r="CW8" s="1"/>
      <c r="CX8" s="1"/>
      <c r="CY8" s="1"/>
      <c r="CZ8" s="1"/>
      <c r="DA8" s="1"/>
      <c r="DB8" s="1"/>
      <c r="DC8" s="1"/>
    </row>
    <row r="9" spans="1:107">
      <c r="A9" s="62" t="str">
        <f>Vorrunde!E12</f>
        <v>SG Weihmichl/Neuhausen/Senegal</v>
      </c>
      <c r="B9" s="3">
        <f>IF(ISNUMBER(Vorrunde!H12),Vorrunde!H12,"")</f>
        <v>0</v>
      </c>
      <c r="C9" s="3">
        <f>IF(ISNUMBER(Vorrunde!J12),Vorrunde!J12,"")</f>
        <v>2</v>
      </c>
      <c r="D9" s="63" t="str">
        <f>Vorrunde!G12</f>
        <v>TSV 1946 Bayerbach/Österreich</v>
      </c>
      <c r="E9" s="79"/>
      <c r="F9" s="1"/>
      <c r="G9" s="80" t="str">
        <f>Text!A6</f>
        <v>Senegal</v>
      </c>
      <c r="H9" s="81">
        <f>B9</f>
        <v>0</v>
      </c>
      <c r="I9" s="82">
        <f>B8</f>
        <v>1</v>
      </c>
      <c r="J9" s="82">
        <f>C6</f>
        <v>0</v>
      </c>
      <c r="K9" s="83"/>
      <c r="L9" s="79"/>
      <c r="M9" s="1"/>
      <c r="N9" s="80" t="str">
        <f>Text!A6</f>
        <v>Senegal</v>
      </c>
      <c r="O9" s="81">
        <f>IF(AND(ISNUMBER(H9),ISNUMBER(K6)),IF(H9&gt;K6,3,IF(H9=K6,1,0)),0)</f>
        <v>0</v>
      </c>
      <c r="P9" s="82">
        <f>IF(AND(ISNUMBER(I9),ISNUMBER(K7)),IF(I9&gt;K7,3,IF(I9=K7,1,0)),0)</f>
        <v>0</v>
      </c>
      <c r="Q9" s="82">
        <f>IF(AND(ISNUMBER(J9),ISNUMBER(K8)),IF(J9&gt;K8,3,IF(J9=K8,1,0)),0)</f>
        <v>0</v>
      </c>
      <c r="R9" s="83"/>
      <c r="S9" s="79"/>
      <c r="T9" s="1"/>
      <c r="U9" s="1">
        <v>4</v>
      </c>
      <c r="V9" s="84" t="str">
        <f>Text!B6</f>
        <v>SG Weihmichl/Neuhausen/Senegal</v>
      </c>
      <c r="W9" s="81">
        <f>IF(COUNT(H9:K9)=COUNT(K6:K9),COUNT(K6:K9),"")</f>
        <v>3</v>
      </c>
      <c r="X9" s="82">
        <f>SUM(O9:R9)</f>
        <v>0</v>
      </c>
      <c r="Y9" s="82">
        <f>SUM(H9:K9)</f>
        <v>1</v>
      </c>
      <c r="Z9" s="82">
        <f>SUM(K6:K9)</f>
        <v>8</v>
      </c>
      <c r="AA9" s="85">
        <f>Y9-Z9</f>
        <v>-7</v>
      </c>
      <c r="AB9" s="79"/>
      <c r="AC9" s="1"/>
      <c r="AD9" s="86">
        <f>BB9</f>
        <v>4</v>
      </c>
      <c r="AE9" s="79"/>
      <c r="AF9" s="1"/>
      <c r="AG9" s="84">
        <f>X9*10000+AA9*100+Y9</f>
        <v>-699</v>
      </c>
      <c r="AH9" s="84">
        <f>COUNTIF(AG6:AG9,AG9)</f>
        <v>1</v>
      </c>
      <c r="AI9" s="84" t="str">
        <f>IF(AH9=1,"x","")</f>
        <v>x</v>
      </c>
      <c r="AJ9" s="79"/>
      <c r="AL9" s="84">
        <f>IF(AI9="x",4,IF(AG6=AG9,1,IF(AG7=AG9,2,3)))</f>
        <v>4</v>
      </c>
      <c r="AM9" s="84">
        <f>INDEX(O9:R9,1,AL9)</f>
        <v>0</v>
      </c>
      <c r="AN9" s="87">
        <f>IF(OR(AH10=2,AH10=4),AM9/10,0)</f>
        <v>0</v>
      </c>
      <c r="AO9" s="79"/>
      <c r="AR9" s="81">
        <f>X9-INDEX(O9:R9,1,AQ5)</f>
        <v>0</v>
      </c>
      <c r="AS9" s="84">
        <f>AA9-(INDEX(H9:K9,1,AQ5)-INDEX(K6:K9,AQ5))</f>
        <v>-5</v>
      </c>
      <c r="AT9" s="81">
        <f>Y9-INDEX(H9:K9,1,AQ5)</f>
        <v>1</v>
      </c>
      <c r="AU9" s="87">
        <f>IF(OR(AH10&lt;&gt;3,AI9="x"),0,AR9/10+AS9/1000+AT9/100000)</f>
        <v>0</v>
      </c>
      <c r="AV9" s="79"/>
      <c r="AX9" s="87">
        <f>AG9+AN9+AU9</f>
        <v>-699</v>
      </c>
      <c r="AY9" s="81">
        <f>IF(INDEX(AX6:AX9,U9)&lt;=INDEX(AX6:AX9,U8),U9,U8)</f>
        <v>4</v>
      </c>
      <c r="AZ9" s="82">
        <f>IF(INDEX(AX6:AX9,AY9)&lt;=INDEX(AX6:AX9,AY7),AY9,AY7)</f>
        <v>4</v>
      </c>
      <c r="BA9" s="85">
        <f>IF(INDEX(AX6:AX9,AZ9)&lt;=INDEX(AX6:AX9,AZ6),AZ9,AZ6)</f>
        <v>4</v>
      </c>
      <c r="BB9" s="86">
        <f>MATCH(U9,BA6:BA9,0)</f>
        <v>4</v>
      </c>
      <c r="BC9" s="81">
        <f>COUNTIF(AX6:AX9,AX9)</f>
        <v>1</v>
      </c>
      <c r="BD9" s="85" t="str">
        <f>IF(BC9=1,"x","")</f>
        <v>x</v>
      </c>
      <c r="BE9" s="76">
        <f>(BD9="x")*BB9</f>
        <v>4</v>
      </c>
      <c r="BZ9" s="1"/>
      <c r="CA9" s="1"/>
      <c r="CK9" s="1"/>
      <c r="CL9" s="1"/>
      <c r="CO9" s="1"/>
      <c r="CP9" s="1"/>
      <c r="CQ9" s="1"/>
      <c r="CR9" s="1"/>
      <c r="CS9" s="1"/>
      <c r="CW9" s="1"/>
      <c r="CX9" s="1"/>
      <c r="CY9" s="1"/>
      <c r="CZ9" s="1"/>
      <c r="DA9" s="1"/>
      <c r="DB9" s="1"/>
      <c r="DC9" s="1"/>
    </row>
    <row r="10" spans="1:107">
      <c r="A10" s="88" t="str">
        <f>Vorrunde!E13</f>
        <v>TSV Langquaid/Australien</v>
      </c>
      <c r="B10" s="89">
        <f>IF(ISNUMBER(Vorrunde!H13),Vorrunde!H13,"")</f>
        <v>1</v>
      </c>
      <c r="C10" s="89">
        <f>IF(ISNUMBER(Vorrunde!J13),Vorrunde!J13,"")</f>
        <v>2</v>
      </c>
      <c r="D10" s="90" t="str">
        <f>Vorrunde!G13</f>
        <v>FC Bonbruck/Bodenkirchen/Saudi-Arabien</v>
      </c>
      <c r="E10" s="42"/>
      <c r="L10" s="42"/>
      <c r="S10" s="42"/>
      <c r="V10" s="4" t="s">
        <v>83</v>
      </c>
      <c r="W10" s="1" t="b">
        <f>SUM(W6:W9)=12</f>
        <v>1</v>
      </c>
      <c r="AB10" s="42"/>
      <c r="AD10" s="86" t="str">
        <f>BF10</f>
        <v>Eindeutige Platzierung</v>
      </c>
      <c r="AE10" s="42"/>
      <c r="AG10" s="91" t="s">
        <v>84</v>
      </c>
      <c r="AH10" s="92">
        <f>MOD(MIN(AH6:AH9)*MAX(AH6:AH9),11)</f>
        <v>1</v>
      </c>
      <c r="AJ10" s="42"/>
      <c r="AK10" s="3"/>
      <c r="AL10" s="3"/>
      <c r="AN10" s="1"/>
      <c r="AO10" s="42"/>
      <c r="AP10" s="3"/>
      <c r="AQ10" s="3"/>
      <c r="AR10" s="1"/>
      <c r="AS10" s="1"/>
      <c r="AV10" s="42"/>
      <c r="AW10" s="3"/>
      <c r="AX10" s="1"/>
      <c r="AY10" s="1"/>
      <c r="BD10" s="93">
        <f>COUNTIF(BD6:BD9,"x")</f>
        <v>4</v>
      </c>
      <c r="BE10" s="92">
        <f>SUM(BE6:BE9)</f>
        <v>10</v>
      </c>
      <c r="BF10" s="92" t="str">
        <f>IF(W10,IF(BD10&gt;=3,Text!B$71,IF(AND(BD10=2,BE10=3),Text!B$72,Text!B$73)),"")</f>
        <v>Eindeutige Platzierung</v>
      </c>
      <c r="BZ10" s="1"/>
      <c r="CA10" s="1"/>
      <c r="CK10" s="1"/>
      <c r="CL10" s="1"/>
      <c r="CO10" s="1"/>
      <c r="CP10" s="1"/>
      <c r="CQ10" s="1"/>
      <c r="CR10" s="1"/>
      <c r="CS10" s="1"/>
      <c r="CW10" s="1"/>
      <c r="CX10" s="1"/>
      <c r="CY10" s="1"/>
      <c r="CZ10" s="1"/>
      <c r="DA10" s="1"/>
      <c r="DB10" s="1"/>
      <c r="DC10" s="1"/>
    </row>
    <row r="11" spans="1:107">
      <c r="A11" s="7"/>
      <c r="E11" s="42"/>
      <c r="L11" s="42"/>
      <c r="S11" s="42"/>
      <c r="AB11" s="42"/>
      <c r="AE11" s="42"/>
      <c r="AG11" s="43"/>
      <c r="AH11" s="43"/>
      <c r="AJ11" s="42"/>
      <c r="AK11" s="3"/>
      <c r="AL11" s="43"/>
      <c r="AM11" s="43"/>
      <c r="AN11" s="43"/>
      <c r="AO11" s="42"/>
      <c r="AP11" s="3"/>
      <c r="AQ11" s="43"/>
      <c r="AR11" s="166"/>
      <c r="AS11" s="166"/>
      <c r="AT11" s="166"/>
      <c r="AU11" s="43"/>
      <c r="AV11" s="42"/>
      <c r="AW11" s="3"/>
      <c r="AX11" s="1"/>
      <c r="AY11" s="165"/>
      <c r="AZ11" s="165"/>
      <c r="BA11" s="165"/>
      <c r="BB11" s="7"/>
      <c r="BC11" s="166"/>
      <c r="BD11" s="166"/>
      <c r="BE11" s="166"/>
      <c r="BZ11" s="1"/>
      <c r="CA11" s="1"/>
      <c r="CK11" s="1"/>
      <c r="CL11" s="1"/>
      <c r="CO11" s="1"/>
      <c r="CP11" s="1"/>
      <c r="CQ11" s="1"/>
      <c r="CR11" s="1"/>
      <c r="CS11" s="1"/>
      <c r="CW11" s="1"/>
      <c r="CX11" s="1"/>
      <c r="CY11" s="1"/>
      <c r="CZ11" s="1"/>
      <c r="DA11" s="1"/>
      <c r="DB11" s="1"/>
      <c r="DC11" s="1"/>
    </row>
    <row r="12" spans="1:107">
      <c r="A12" s="7" t="str">
        <f>Text!B10</f>
        <v>GRUPPE B</v>
      </c>
      <c r="E12" s="42"/>
      <c r="L12" s="42"/>
      <c r="S12" s="42"/>
      <c r="AB12" s="42"/>
      <c r="AE12" s="42"/>
      <c r="AG12" s="43"/>
      <c r="AH12" s="43"/>
      <c r="AJ12" s="42"/>
      <c r="AK12" s="3"/>
      <c r="AL12" s="43"/>
      <c r="AM12" s="43"/>
      <c r="AN12" s="43"/>
      <c r="AO12" s="42"/>
      <c r="AP12" s="3"/>
      <c r="AQ12" s="43"/>
      <c r="AR12" s="166"/>
      <c r="AS12" s="166"/>
      <c r="AT12" s="166"/>
      <c r="AU12" s="43"/>
      <c r="AV12" s="42"/>
      <c r="AW12" s="3"/>
      <c r="AX12" s="1"/>
      <c r="AY12" s="165"/>
      <c r="AZ12" s="165"/>
      <c r="BA12" s="165"/>
      <c r="BB12" s="7"/>
      <c r="BC12" s="166"/>
      <c r="BD12" s="166"/>
      <c r="BE12" s="166"/>
      <c r="BZ12" s="1"/>
      <c r="CA12" s="1"/>
      <c r="CK12" s="1"/>
      <c r="CL12" s="1"/>
      <c r="CO12" s="1"/>
      <c r="CP12" s="1"/>
      <c r="CQ12" s="1"/>
      <c r="CR12" s="1"/>
      <c r="CS12" s="1"/>
      <c r="CW12" s="1"/>
      <c r="CX12" s="1"/>
      <c r="CY12" s="1"/>
      <c r="CZ12" s="1"/>
      <c r="DA12" s="1"/>
      <c r="DB12" s="1"/>
      <c r="DC12" s="1"/>
    </row>
    <row r="13" spans="1:107" ht="40.200000000000003">
      <c r="A13" s="49" t="str">
        <f>Vorrunde!E16</f>
        <v>TSV Kirchberg/Algerien</v>
      </c>
      <c r="B13" s="50">
        <f>IF(ISNUMBER(Vorrunde!H16),Vorrunde!H16,"")</f>
        <v>0</v>
      </c>
      <c r="C13" s="50">
        <f>IF(ISNUMBER(Vorrunde!J16),Vorrunde!J16,"")</f>
        <v>3</v>
      </c>
      <c r="D13" s="51" t="str">
        <f>Vorrunde!G16</f>
        <v>TSV Rottenburg/Schottland</v>
      </c>
      <c r="E13" s="52"/>
      <c r="F13" s="53"/>
      <c r="G13" s="54">
        <f>SUM(H14:K17)</f>
        <v>15</v>
      </c>
      <c r="H13" s="55" t="str">
        <f>Text!A11</f>
        <v>Algerien</v>
      </c>
      <c r="I13" s="56" t="str">
        <f>Text!A12</f>
        <v>Schottland</v>
      </c>
      <c r="J13" s="56" t="str">
        <f>Text!A13</f>
        <v>Südafrika</v>
      </c>
      <c r="K13" s="57" t="str">
        <f>Text!A14</f>
        <v>Spanien</v>
      </c>
      <c r="L13" s="52"/>
      <c r="M13" s="53"/>
      <c r="N13" s="54">
        <f>SUM(O14:R17)</f>
        <v>16</v>
      </c>
      <c r="O13" s="55" t="str">
        <f>Text!A11</f>
        <v>Algerien</v>
      </c>
      <c r="P13" s="56" t="str">
        <f>Text!A12</f>
        <v>Schottland</v>
      </c>
      <c r="Q13" s="56" t="str">
        <f>Text!A13</f>
        <v>Südafrika</v>
      </c>
      <c r="R13" s="57" t="str">
        <f>Text!A14</f>
        <v>Spanien</v>
      </c>
      <c r="S13" s="52"/>
      <c r="T13" s="53"/>
      <c r="W13" s="58" t="str">
        <f>Text!A$64</f>
        <v>Sp.</v>
      </c>
      <c r="X13" s="59" t="str">
        <f>Text!A$65</f>
        <v>Pkte.</v>
      </c>
      <c r="Y13" s="59" t="str">
        <f>Text!A$66</f>
        <v>T</v>
      </c>
      <c r="Z13" s="59" t="str">
        <f>Text!A$67</f>
        <v>GT</v>
      </c>
      <c r="AA13" s="60" t="str">
        <f>Text!A$68</f>
        <v>Diff.</v>
      </c>
      <c r="AB13" s="52"/>
      <c r="AC13" s="53"/>
      <c r="AE13" s="52"/>
      <c r="AF13" s="53"/>
      <c r="AG13" s="1"/>
      <c r="AJ13" s="52"/>
      <c r="AK13" s="53"/>
      <c r="AL13" s="53"/>
      <c r="AN13" s="1"/>
      <c r="AO13" s="52"/>
      <c r="AP13" s="53"/>
      <c r="AQ13" s="61">
        <f>MATCH(1,AH14:AH17,0)</f>
        <v>1</v>
      </c>
      <c r="AR13" s="1"/>
      <c r="AS13" s="1"/>
      <c r="AV13" s="52"/>
      <c r="AW13" s="53"/>
      <c r="AX13" s="43"/>
      <c r="AY13" s="1"/>
      <c r="BZ13" s="1"/>
      <c r="CA13" s="1"/>
      <c r="CK13" s="1"/>
      <c r="CL13" s="1"/>
      <c r="CO13" s="1"/>
      <c r="CP13" s="1"/>
      <c r="CQ13" s="1"/>
      <c r="CR13" s="1"/>
      <c r="CS13" s="1"/>
      <c r="CW13" s="1"/>
      <c r="CX13" s="1"/>
      <c r="CY13" s="1"/>
      <c r="CZ13" s="1"/>
      <c r="DA13" s="1"/>
      <c r="DB13" s="1"/>
      <c r="DC13" s="1"/>
    </row>
    <row r="14" spans="1:107">
      <c r="A14" s="62" t="str">
        <f>Vorrunde!E17</f>
        <v>SV Gündlkofen/Südafrika</v>
      </c>
      <c r="B14" s="3">
        <f>IF(ISNUMBER(Vorrunde!H17),Vorrunde!H17,"")</f>
        <v>0</v>
      </c>
      <c r="C14" s="3">
        <f>IF(ISNUMBER(Vorrunde!J17),Vorrunde!J17,"")</f>
        <v>2</v>
      </c>
      <c r="D14" s="63" t="str">
        <f>Vorrunde!G17</f>
        <v>TSV Pfaffenberg/Spanien</v>
      </c>
      <c r="E14" s="42"/>
      <c r="G14" s="64" t="str">
        <f>Text!A11</f>
        <v>Algerien</v>
      </c>
      <c r="H14" s="65"/>
      <c r="I14" s="66">
        <f>B13</f>
        <v>0</v>
      </c>
      <c r="J14" s="66">
        <f>B15</f>
        <v>2</v>
      </c>
      <c r="K14" s="67">
        <f>C17</f>
        <v>1</v>
      </c>
      <c r="L14" s="42"/>
      <c r="N14" s="64" t="str">
        <f>Text!A11</f>
        <v>Algerien</v>
      </c>
      <c r="O14" s="65"/>
      <c r="P14" s="66">
        <f>IF(AND(ISNUMBER(I14),ISNUMBER(H15)),IF(I14&gt;H15,3,IF(I14=H15,1,0)),0)</f>
        <v>0</v>
      </c>
      <c r="Q14" s="66">
        <f>IF(AND(ISNUMBER(J14),ISNUMBER(H16)),IF(J14&gt;H16,3,IF(J14=H16,1,0)),0)</f>
        <v>1</v>
      </c>
      <c r="R14" s="67">
        <f>IF(AND(ISNUMBER(K14),ISNUMBER(H17)),IF(K14&gt;H17,3,IF(K14=H17,1,0)),0)</f>
        <v>0</v>
      </c>
      <c r="S14" s="42"/>
      <c r="U14" s="1">
        <v>1</v>
      </c>
      <c r="V14" s="68" t="str">
        <f>Text!B11</f>
        <v>TSV Kirchberg/Algerien</v>
      </c>
      <c r="W14" s="69">
        <f>IF(COUNT(H14:K14)=COUNT(H14:H17),COUNT(H14:H17),"")</f>
        <v>3</v>
      </c>
      <c r="X14" s="66">
        <f>SUM(O14:R14)</f>
        <v>1</v>
      </c>
      <c r="Y14" s="66">
        <f>SUM(H14:K14)</f>
        <v>3</v>
      </c>
      <c r="Z14" s="66">
        <f>SUM(H14:H17)</f>
        <v>8</v>
      </c>
      <c r="AA14" s="67">
        <f>Y14-Z14</f>
        <v>-5</v>
      </c>
      <c r="AB14" s="42"/>
      <c r="AD14" s="70">
        <f>BB14</f>
        <v>4</v>
      </c>
      <c r="AE14" s="42"/>
      <c r="AG14" s="68">
        <f>X14*10000+AA14*100+Y14</f>
        <v>9503</v>
      </c>
      <c r="AH14" s="68">
        <f>COUNTIF(AG14:AG17,AG14)</f>
        <v>1</v>
      </c>
      <c r="AI14" s="68" t="str">
        <f>IF(AH14=1,"x","")</f>
        <v>x</v>
      </c>
      <c r="AJ14" s="42"/>
      <c r="AK14" s="3"/>
      <c r="AL14" s="68">
        <f>IF(AI14="x",1,IF(AG15=AG14,2,IF(AG16=AG14,3,4)))</f>
        <v>1</v>
      </c>
      <c r="AM14" s="68">
        <f>INDEX(O14:R14,1,AL14)</f>
        <v>0</v>
      </c>
      <c r="AN14" s="71">
        <f>IF(OR(AH18=2,AH18=4),AM14/10,0)</f>
        <v>0</v>
      </c>
      <c r="AO14" s="42"/>
      <c r="AP14" s="3"/>
      <c r="AQ14" s="3"/>
      <c r="AR14" s="69">
        <f>X14-INDEX(O14:R14,1,AQ13)</f>
        <v>1</v>
      </c>
      <c r="AS14" s="68">
        <f>AA14-(INDEX(H14:K14,1,AQ13)-INDEX(H14:H17,AQ13,1))</f>
        <v>-5</v>
      </c>
      <c r="AT14" s="69">
        <f>Y14-INDEX(H14:K14,1,AQ13)</f>
        <v>3</v>
      </c>
      <c r="AU14" s="71">
        <f>IF(OR(AH18&lt;&gt;3,AI14="x"),0,AR14/10+AS14/1000+AT14/100000)</f>
        <v>0</v>
      </c>
      <c r="AV14" s="42"/>
      <c r="AW14" s="3"/>
      <c r="AX14" s="71">
        <f>AG14+AN14+AU14</f>
        <v>9503</v>
      </c>
      <c r="AY14" s="69">
        <f>IF(INDEX(AX14:AX17,U14)&gt;=INDEX(AX14:AX17,U15),U14,U15)</f>
        <v>2</v>
      </c>
      <c r="AZ14" s="66">
        <f>IF(INDEX(AX14:AX17,AY14)&gt;=INDEX(AX14:AX17,AY16),AY14,AY16)</f>
        <v>2</v>
      </c>
      <c r="BA14" s="67">
        <f>IF(INDEX(AX14:AX17,AZ14)&gt;=INDEX(AX14:AX17,AZ17),AZ14,AZ17)</f>
        <v>2</v>
      </c>
      <c r="BB14" s="70">
        <f>MATCH(U14,BA14:BA17,0)</f>
        <v>4</v>
      </c>
      <c r="BC14" s="69">
        <f>COUNTIF(AX14:AX17,AX14)</f>
        <v>1</v>
      </c>
      <c r="BD14" s="67" t="str">
        <f>IF(BC14=1,"x","")</f>
        <v>x</v>
      </c>
      <c r="BE14" s="68">
        <f>(BD14="x")*BB14</f>
        <v>4</v>
      </c>
      <c r="BZ14" s="1"/>
      <c r="CA14" s="1"/>
      <c r="CK14" s="1"/>
      <c r="CL14" s="1"/>
      <c r="CO14" s="1"/>
      <c r="CP14" s="1"/>
      <c r="CQ14" s="1"/>
      <c r="CR14" s="1"/>
      <c r="CS14" s="1"/>
      <c r="CW14" s="1"/>
      <c r="CX14" s="1"/>
      <c r="CY14" s="1"/>
      <c r="CZ14" s="1"/>
      <c r="DA14" s="1"/>
      <c r="DB14" s="1"/>
      <c r="DC14" s="1"/>
    </row>
    <row r="15" spans="1:107">
      <c r="A15" s="62" t="str">
        <f>Vorrunde!E18</f>
        <v>TSV Kirchberg/Algerien</v>
      </c>
      <c r="B15" s="3">
        <f>IF(ISNUMBER(Vorrunde!H18),Vorrunde!H18,"")</f>
        <v>2</v>
      </c>
      <c r="C15" s="3">
        <f>IF(ISNUMBER(Vorrunde!J18),Vorrunde!J18,"")</f>
        <v>2</v>
      </c>
      <c r="D15" s="63" t="str">
        <f>Vorrunde!G18</f>
        <v>SV Gündlkofen/Südafrika</v>
      </c>
      <c r="E15" s="42"/>
      <c r="G15" s="72" t="str">
        <f>Text!A12</f>
        <v>Schottland</v>
      </c>
      <c r="H15" s="73">
        <f>C13</f>
        <v>3</v>
      </c>
      <c r="I15" s="74"/>
      <c r="J15" s="1">
        <f>B18</f>
        <v>0</v>
      </c>
      <c r="K15" s="75">
        <f>C16</f>
        <v>2</v>
      </c>
      <c r="L15" s="42"/>
      <c r="N15" s="72" t="str">
        <f>Text!A12</f>
        <v>Schottland</v>
      </c>
      <c r="O15" s="73">
        <f>IF(AND(ISNUMBER(H15),ISNUMBER(I14)),IF(H15&gt;I14,3,IF(H15=I14,1,0)),0)</f>
        <v>3</v>
      </c>
      <c r="P15" s="74"/>
      <c r="Q15" s="1">
        <f>IF(AND(ISNUMBER(J15),ISNUMBER(I16)),IF(J15&gt;I16,3,IF(J15=I16,1,0)),0)</f>
        <v>1</v>
      </c>
      <c r="R15" s="75">
        <f>IF(AND(ISNUMBER(K15),ISNUMBER(I17)),IF(K15&gt;I17,3,IF(K15=I17,1,0)),0)</f>
        <v>3</v>
      </c>
      <c r="S15" s="42"/>
      <c r="U15" s="1">
        <v>2</v>
      </c>
      <c r="V15" s="76" t="str">
        <f>Text!B12</f>
        <v>TSV Rottenburg/Schottland</v>
      </c>
      <c r="W15" s="73">
        <f>IF(COUNT(H15:K15)=COUNT(I14:I17),COUNT(I14:I17),"")</f>
        <v>3</v>
      </c>
      <c r="X15" s="1">
        <f>SUM(O15:R15)</f>
        <v>7</v>
      </c>
      <c r="Y15" s="1">
        <f>SUM(H15:K15)</f>
        <v>5</v>
      </c>
      <c r="Z15" s="1">
        <f>SUM(I14:I17)</f>
        <v>0</v>
      </c>
      <c r="AA15" s="75">
        <f>Y15-Z15</f>
        <v>5</v>
      </c>
      <c r="AB15" s="42"/>
      <c r="AD15" s="77">
        <f>BB15</f>
        <v>1</v>
      </c>
      <c r="AE15" s="42"/>
      <c r="AG15" s="76">
        <f>X15*10000+AA15*100+Y15</f>
        <v>70505</v>
      </c>
      <c r="AH15" s="76">
        <f>COUNTIF(AG14:AG17,AG15)</f>
        <v>1</v>
      </c>
      <c r="AI15" s="76" t="str">
        <f>IF(AH15=1,"x","")</f>
        <v>x</v>
      </c>
      <c r="AJ15" s="42"/>
      <c r="AK15" s="3"/>
      <c r="AL15" s="76">
        <f>IF(AI15="x",2,IF(AG16=AG15,3,IF(AG17=AG15,4,1)))</f>
        <v>2</v>
      </c>
      <c r="AM15" s="76">
        <f>INDEX(O15:R15,1,AL15)</f>
        <v>0</v>
      </c>
      <c r="AN15" s="78">
        <f>IF(OR(AH18=2,AH18=4),AM15/10,0)</f>
        <v>0</v>
      </c>
      <c r="AO15" s="42"/>
      <c r="AP15" s="3"/>
      <c r="AQ15" s="3"/>
      <c r="AR15" s="73">
        <f>X15-INDEX(O15:R15,1,AQ13)</f>
        <v>4</v>
      </c>
      <c r="AS15" s="76">
        <f>AA15-(INDEX(H15:K15,1,AQ13)-INDEX(I14:I17,AQ13))</f>
        <v>2</v>
      </c>
      <c r="AT15" s="73">
        <f>Y15-INDEX(H15:K15,1,AQ13)</f>
        <v>2</v>
      </c>
      <c r="AU15" s="78">
        <f>IF(OR(AH18&lt;&gt;3,AI15="x"),0,AR15/10+AS15/1000+AT15/100000)</f>
        <v>0</v>
      </c>
      <c r="AV15" s="42"/>
      <c r="AW15" s="3"/>
      <c r="AX15" s="78">
        <f>AG15+AN15+AU15</f>
        <v>70505</v>
      </c>
      <c r="AY15" s="73">
        <f>IF(INDEX(AX14:AX17,U15)&lt;=INDEX(AX14:AX17,U14),U15,U14)</f>
        <v>1</v>
      </c>
      <c r="AZ15" s="1">
        <f>IF(INDEX(AX14:AX17,AY15)&gt;=INDEX(AX14:AX17,AY17),AY15,AY17)</f>
        <v>3</v>
      </c>
      <c r="BA15" s="75">
        <f>IF(INDEX(AX14:AX17,AZ15)&gt;=INDEX(AX14:AX17,AZ16),AZ15,AZ16)</f>
        <v>4</v>
      </c>
      <c r="BB15" s="77">
        <f>MATCH(U15,BA14:BA17,0)</f>
        <v>1</v>
      </c>
      <c r="BC15" s="73">
        <f>COUNTIF(AX14:AX17,AX15)</f>
        <v>1</v>
      </c>
      <c r="BD15" s="75" t="str">
        <f>IF(BC15=1,"x","")</f>
        <v>x</v>
      </c>
      <c r="BE15" s="76">
        <f>(BD15="x")*BB15</f>
        <v>1</v>
      </c>
      <c r="BZ15" s="1"/>
      <c r="CA15" s="1"/>
      <c r="CK15" s="1"/>
      <c r="CL15" s="1"/>
      <c r="CO15" s="1"/>
      <c r="CP15" s="1"/>
      <c r="CQ15" s="1"/>
      <c r="CR15" s="1"/>
      <c r="CS15" s="1"/>
      <c r="CW15" s="1"/>
      <c r="CX15" s="1"/>
      <c r="CY15" s="1"/>
      <c r="CZ15" s="1"/>
      <c r="DA15" s="1"/>
      <c r="DB15" s="1"/>
      <c r="DC15" s="1"/>
    </row>
    <row r="16" spans="1:107">
      <c r="A16" s="62" t="str">
        <f>Vorrunde!E19</f>
        <v>TSV Pfaffenberg/Spanien</v>
      </c>
      <c r="B16" s="3">
        <f>IF(ISNUMBER(Vorrunde!H19),Vorrunde!H19,"")</f>
        <v>0</v>
      </c>
      <c r="C16" s="3">
        <f>IF(ISNUMBER(Vorrunde!J19),Vorrunde!J19,"")</f>
        <v>2</v>
      </c>
      <c r="D16" s="63" t="str">
        <f>Vorrunde!G19</f>
        <v>TSV Rottenburg/Schottland</v>
      </c>
      <c r="E16" s="42"/>
      <c r="G16" s="72" t="str">
        <f>Text!A13</f>
        <v>Südafrika</v>
      </c>
      <c r="H16" s="73">
        <f>C15</f>
        <v>2</v>
      </c>
      <c r="I16" s="1">
        <f>C18</f>
        <v>0</v>
      </c>
      <c r="J16" s="74"/>
      <c r="K16" s="75">
        <f>B14</f>
        <v>0</v>
      </c>
      <c r="L16" s="42"/>
      <c r="N16" s="72" t="str">
        <f>Text!A13</f>
        <v>Südafrika</v>
      </c>
      <c r="O16" s="73">
        <f>IF(AND(ISNUMBER(H16),ISNUMBER(J14)),IF(H16&gt;J14,3,IF(H16=J14,1,0)),0)</f>
        <v>1</v>
      </c>
      <c r="P16" s="1">
        <f>IF(AND(ISNUMBER(I16),ISNUMBER(J15)),IF(I16&gt;J15,3,IF(I16=J15,1,0)),0)</f>
        <v>1</v>
      </c>
      <c r="Q16" s="74"/>
      <c r="R16" s="75">
        <f>IF(AND(ISNUMBER(K16),ISNUMBER(J17)),IF(K16&gt;J17,3,IF(K16=J17,1,0)),0)</f>
        <v>0</v>
      </c>
      <c r="S16" s="42"/>
      <c r="U16" s="1">
        <v>3</v>
      </c>
      <c r="V16" s="76" t="str">
        <f>Text!B13</f>
        <v>SV Gündlkofen/Südafrika</v>
      </c>
      <c r="W16" s="73">
        <f>IF(COUNT(H16:K16)=COUNT(J14:J17),COUNT(J14:J17),"")</f>
        <v>3</v>
      </c>
      <c r="X16" s="1">
        <f>SUM(O16:R16)</f>
        <v>2</v>
      </c>
      <c r="Y16" s="1">
        <f>SUM(H16:K16)</f>
        <v>2</v>
      </c>
      <c r="Z16" s="1">
        <f>SUM(J14:J17)</f>
        <v>4</v>
      </c>
      <c r="AA16" s="75">
        <f>Y16-Z16</f>
        <v>-2</v>
      </c>
      <c r="AB16" s="42"/>
      <c r="AD16" s="77">
        <f>BB16</f>
        <v>3</v>
      </c>
      <c r="AE16" s="42"/>
      <c r="AG16" s="76">
        <f>X16*10000+AA16*100+Y16</f>
        <v>19802</v>
      </c>
      <c r="AH16" s="76">
        <f>COUNTIF(AG14:AG17,AG16)</f>
        <v>1</v>
      </c>
      <c r="AI16" s="76" t="str">
        <f>IF(AH16=1,"x","")</f>
        <v>x</v>
      </c>
      <c r="AJ16" s="42"/>
      <c r="AK16" s="3"/>
      <c r="AL16" s="76">
        <f>IF(AI16="x",3,IF(AG17=AG16,4,IF(AG15=AG16,2,1)))</f>
        <v>3</v>
      </c>
      <c r="AM16" s="76">
        <f>INDEX(O16:R16,1,AL16)</f>
        <v>0</v>
      </c>
      <c r="AN16" s="78">
        <f>IF(OR(AH18=2,AH18=4),AM16/10,0)</f>
        <v>0</v>
      </c>
      <c r="AO16" s="42"/>
      <c r="AP16" s="3"/>
      <c r="AQ16" s="3"/>
      <c r="AR16" s="73">
        <f>X16-INDEX(O16:R16,1,AQ13)</f>
        <v>1</v>
      </c>
      <c r="AS16" s="76">
        <f>AA16-(INDEX(H16:K16,1,AQ13)-INDEX(J14:J17,AQ13))</f>
        <v>-2</v>
      </c>
      <c r="AT16" s="73">
        <f>Y16-INDEX(H16:K16,1,AQ13)</f>
        <v>0</v>
      </c>
      <c r="AU16" s="78">
        <f>IF(OR(AH18&lt;&gt;3,AI16="x"),0,AR16/10+AS16/1000+AT16/100000)</f>
        <v>0</v>
      </c>
      <c r="AV16" s="42"/>
      <c r="AW16" s="3"/>
      <c r="AX16" s="78">
        <f>AG16+AN16+AU16</f>
        <v>19802</v>
      </c>
      <c r="AY16" s="73">
        <f>IF(INDEX(AX14:AX17,U16)&gt;=INDEX(AX14:AX17,U17),U16,U17)</f>
        <v>4</v>
      </c>
      <c r="AZ16" s="1">
        <f>IF(INDEX(AX14:AX17,AY16)&lt;=INDEX(AX14:AX17,AY14),AY16,AY14)</f>
        <v>4</v>
      </c>
      <c r="BA16" s="75">
        <f>IF(INDEX(AX14:AX17,AZ16)&lt;=INDEX(AX14:AX17,AZ15),AZ16,AZ15)</f>
        <v>3</v>
      </c>
      <c r="BB16" s="77">
        <f>MATCH(U16,BA14:BA17,0)</f>
        <v>3</v>
      </c>
      <c r="BC16" s="73">
        <f>COUNTIF(AX14:AX17,AX16)</f>
        <v>1</v>
      </c>
      <c r="BD16" s="75" t="str">
        <f>IF(BC16=1,"x","")</f>
        <v>x</v>
      </c>
      <c r="BE16" s="76">
        <f>(BD16="x")*BB16</f>
        <v>3</v>
      </c>
      <c r="BZ16" s="1"/>
      <c r="CA16" s="1"/>
      <c r="CK16" s="1"/>
      <c r="CL16" s="1"/>
      <c r="CO16" s="1"/>
      <c r="CP16" s="1"/>
      <c r="CQ16" s="1"/>
      <c r="CR16" s="1"/>
      <c r="CS16" s="1"/>
      <c r="CW16" s="1"/>
      <c r="CX16" s="1"/>
      <c r="CY16" s="1"/>
      <c r="CZ16" s="1"/>
      <c r="DA16" s="1"/>
      <c r="DB16" s="1"/>
      <c r="DC16" s="1"/>
    </row>
    <row r="17" spans="1:107">
      <c r="A17" s="62" t="str">
        <f>Vorrunde!E20</f>
        <v>TSV Pfaffenberg/Spanien</v>
      </c>
      <c r="B17" s="3">
        <f>IF(ISNUMBER(Vorrunde!H20),Vorrunde!H20,"")</f>
        <v>3</v>
      </c>
      <c r="C17" s="3">
        <f>IF(ISNUMBER(Vorrunde!J20),Vorrunde!J20,"")</f>
        <v>1</v>
      </c>
      <c r="D17" s="63" t="str">
        <f>Vorrunde!G20</f>
        <v>TSV Kirchberg/Algerien</v>
      </c>
      <c r="E17" s="79"/>
      <c r="F17" s="1"/>
      <c r="G17" s="80" t="str">
        <f>Text!A14</f>
        <v>Spanien</v>
      </c>
      <c r="H17" s="81">
        <f>B17</f>
        <v>3</v>
      </c>
      <c r="I17" s="82">
        <f>B16</f>
        <v>0</v>
      </c>
      <c r="J17" s="82">
        <f>C14</f>
        <v>2</v>
      </c>
      <c r="K17" s="83"/>
      <c r="L17" s="79"/>
      <c r="M17" s="1"/>
      <c r="N17" s="80" t="str">
        <f>Text!A14</f>
        <v>Spanien</v>
      </c>
      <c r="O17" s="81">
        <f>IF(AND(ISNUMBER(H17),ISNUMBER(K14)),IF(H17&gt;K14,3,IF(H17=K14,1,0)),0)</f>
        <v>3</v>
      </c>
      <c r="P17" s="82">
        <f>IF(AND(ISNUMBER(I17),ISNUMBER(K15)),IF(I17&gt;K15,3,IF(I17=K15,1,0)),0)</f>
        <v>0</v>
      </c>
      <c r="Q17" s="82">
        <f>IF(AND(ISNUMBER(J17),ISNUMBER(K16)),IF(J17&gt;K16,3,IF(J17=K16,1,0)),0)</f>
        <v>3</v>
      </c>
      <c r="R17" s="83"/>
      <c r="S17" s="79"/>
      <c r="T17" s="1"/>
      <c r="U17" s="1">
        <v>4</v>
      </c>
      <c r="V17" s="84" t="str">
        <f>Text!B14</f>
        <v>TSV Pfaffenberg/Spanien</v>
      </c>
      <c r="W17" s="81">
        <f>IF(COUNT(H17:K17)=COUNT(K14:K17),COUNT(K14:K17),"")</f>
        <v>3</v>
      </c>
      <c r="X17" s="82">
        <f>SUM(O17:R17)</f>
        <v>6</v>
      </c>
      <c r="Y17" s="82">
        <f>SUM(H17:K17)</f>
        <v>5</v>
      </c>
      <c r="Z17" s="82">
        <f>SUM(K14:K17)</f>
        <v>3</v>
      </c>
      <c r="AA17" s="85">
        <f>Y17-Z17</f>
        <v>2</v>
      </c>
      <c r="AB17" s="79"/>
      <c r="AC17" s="1"/>
      <c r="AD17" s="86">
        <f>BB17</f>
        <v>2</v>
      </c>
      <c r="AE17" s="79"/>
      <c r="AF17" s="1"/>
      <c r="AG17" s="84">
        <f>X17*10000+AA17*100+Y17</f>
        <v>60205</v>
      </c>
      <c r="AH17" s="84">
        <f>COUNTIF(AG14:AG17,AG17)</f>
        <v>1</v>
      </c>
      <c r="AI17" s="84" t="str">
        <f>IF(AH17=1,"x","")</f>
        <v>x</v>
      </c>
      <c r="AJ17" s="79"/>
      <c r="AL17" s="84">
        <f>IF(AI17="x",4,IF(AG14=AG17,1,IF(AG15=AG17,2,3)))</f>
        <v>4</v>
      </c>
      <c r="AM17" s="84">
        <f>INDEX(O17:R17,1,AL17)</f>
        <v>0</v>
      </c>
      <c r="AN17" s="87">
        <f>IF(OR(AH18=2,AH18=4),AM17/10,0)</f>
        <v>0</v>
      </c>
      <c r="AO17" s="79"/>
      <c r="AR17" s="81">
        <f>X17-INDEX(O17:R17,1,AQ13)</f>
        <v>3</v>
      </c>
      <c r="AS17" s="84">
        <f>AA17-(INDEX(H17:K17,1,AQ13)-INDEX(K14:K17,AQ13))</f>
        <v>0</v>
      </c>
      <c r="AT17" s="81">
        <f>Y17-INDEX(H17:K17,1,AQ13)</f>
        <v>2</v>
      </c>
      <c r="AU17" s="87">
        <f>IF(OR(AH18&lt;&gt;3,AI17="x"),0,AR17/10+AS17/1000+AT17/100000)</f>
        <v>0</v>
      </c>
      <c r="AV17" s="79"/>
      <c r="AX17" s="87">
        <f>AG17+AN17+AU17</f>
        <v>60205</v>
      </c>
      <c r="AY17" s="81">
        <f>IF(INDEX(AX14:AX17,U17)&lt;=INDEX(AX14:AX17,U16),U17,U16)</f>
        <v>3</v>
      </c>
      <c r="AZ17" s="82">
        <f>IF(INDEX(AX14:AX17,AY17)&lt;=INDEX(AX14:AX17,AY15),AY17,AY15)</f>
        <v>1</v>
      </c>
      <c r="BA17" s="85">
        <f>IF(INDEX(AX14:AX17,AZ17)&lt;=INDEX(AX14:AX17,AZ14),AZ17,AZ14)</f>
        <v>1</v>
      </c>
      <c r="BB17" s="86">
        <f>MATCH(U17,BA14:BA17,0)</f>
        <v>2</v>
      </c>
      <c r="BC17" s="81">
        <f>COUNTIF(AX14:AX17,AX17)</f>
        <v>1</v>
      </c>
      <c r="BD17" s="85" t="str">
        <f>IF(BC17=1,"x","")</f>
        <v>x</v>
      </c>
      <c r="BE17" s="76">
        <f>(BD17="x")*BB17</f>
        <v>2</v>
      </c>
      <c r="BZ17" s="1"/>
      <c r="CA17" s="1"/>
      <c r="CK17" s="1"/>
      <c r="CL17" s="1"/>
      <c r="CO17" s="1"/>
      <c r="CP17" s="1"/>
      <c r="CQ17" s="1"/>
      <c r="CR17" s="1"/>
      <c r="CS17" s="1"/>
      <c r="CW17" s="1"/>
      <c r="CX17" s="1"/>
      <c r="CY17" s="1"/>
      <c r="CZ17" s="1"/>
      <c r="DA17" s="1"/>
      <c r="DB17" s="1"/>
      <c r="DC17" s="1"/>
    </row>
    <row r="18" spans="1:107">
      <c r="A18" s="88" t="str">
        <f>Vorrunde!E21</f>
        <v>TSV Rottenburg/Schottland</v>
      </c>
      <c r="B18" s="89">
        <f>IF(ISNUMBER(Vorrunde!H21),Vorrunde!H21,"")</f>
        <v>0</v>
      </c>
      <c r="C18" s="89">
        <f>IF(ISNUMBER(Vorrunde!J21),Vorrunde!J21,"")</f>
        <v>0</v>
      </c>
      <c r="D18" s="90" t="str">
        <f>Vorrunde!G21</f>
        <v>SV Gündlkofen/Südafrika</v>
      </c>
      <c r="E18" s="42"/>
      <c r="L18" s="42"/>
      <c r="S18" s="42"/>
      <c r="V18" s="4" t="s">
        <v>83</v>
      </c>
      <c r="W18" s="1" t="b">
        <f>SUM(W14:W17)=12</f>
        <v>1</v>
      </c>
      <c r="AB18" s="42"/>
      <c r="AD18" s="86" t="str">
        <f>BF18</f>
        <v>Eindeutige Platzierung</v>
      </c>
      <c r="AE18" s="42"/>
      <c r="AG18" s="91" t="s">
        <v>84</v>
      </c>
      <c r="AH18" s="92">
        <f>MOD(MIN(AH14:AH17)*MAX(AH14:AH17),11)</f>
        <v>1</v>
      </c>
      <c r="AJ18" s="42"/>
      <c r="AK18" s="3"/>
      <c r="AL18" s="3"/>
      <c r="AN18" s="1"/>
      <c r="AO18" s="42"/>
      <c r="AP18" s="3"/>
      <c r="AQ18" s="3"/>
      <c r="AR18" s="1"/>
      <c r="AS18" s="1"/>
      <c r="AV18" s="42"/>
      <c r="AW18" s="3"/>
      <c r="AX18" s="1"/>
      <c r="AY18" s="1"/>
      <c r="BD18" s="93">
        <f>COUNTIF(BD14:BD17,"x")</f>
        <v>4</v>
      </c>
      <c r="BE18" s="92">
        <f>SUM(BE14:BE17)</f>
        <v>10</v>
      </c>
      <c r="BF18" s="92" t="str">
        <f>IF(W18,IF(BD18&gt;=3,Text!B$71,IF(AND(BD18=2,BE18=3),Text!B$72,Text!B$73)),"")</f>
        <v>Eindeutige Platzierung</v>
      </c>
      <c r="BZ18" s="1"/>
      <c r="CA18" s="1"/>
      <c r="CK18" s="1"/>
      <c r="CL18" s="1"/>
      <c r="CO18" s="1"/>
      <c r="CP18" s="1"/>
      <c r="CQ18" s="1"/>
      <c r="CR18" s="1"/>
      <c r="CS18" s="1"/>
      <c r="CW18" s="1"/>
      <c r="CX18" s="1"/>
      <c r="CY18" s="1"/>
      <c r="CZ18" s="1"/>
      <c r="DA18" s="1"/>
      <c r="DB18" s="1"/>
      <c r="DC18" s="1"/>
    </row>
    <row r="19" spans="1:107">
      <c r="A19" s="7"/>
      <c r="E19" s="42"/>
      <c r="L19" s="42"/>
      <c r="S19" s="42"/>
      <c r="AB19" s="42"/>
      <c r="AE19" s="42"/>
      <c r="AG19" s="43"/>
      <c r="AH19" s="43"/>
      <c r="AJ19" s="42"/>
      <c r="AK19" s="3"/>
      <c r="AL19" s="43"/>
      <c r="AM19" s="43"/>
      <c r="AN19" s="43"/>
      <c r="AO19" s="42"/>
      <c r="AP19" s="3"/>
      <c r="AQ19" s="43"/>
      <c r="AR19" s="166"/>
      <c r="AS19" s="166"/>
      <c r="AT19" s="166"/>
      <c r="AU19" s="43"/>
      <c r="AV19" s="42"/>
      <c r="AW19" s="3"/>
      <c r="AX19" s="1"/>
      <c r="AY19" s="165"/>
      <c r="AZ19" s="165"/>
      <c r="BA19" s="165"/>
      <c r="BB19" s="7"/>
      <c r="BC19" s="166"/>
      <c r="BD19" s="166"/>
      <c r="BE19" s="166"/>
      <c r="BZ19" s="1"/>
      <c r="CA19" s="1"/>
      <c r="CK19" s="1"/>
      <c r="CL19" s="1"/>
      <c r="CO19" s="1"/>
      <c r="CP19" s="1"/>
      <c r="CQ19" s="1"/>
      <c r="CR19" s="1"/>
      <c r="CS19" s="1"/>
      <c r="CW19" s="1"/>
      <c r="CX19" s="1"/>
      <c r="CY19" s="1"/>
      <c r="CZ19" s="1"/>
      <c r="DA19" s="1"/>
      <c r="DB19" s="1"/>
      <c r="DC19" s="1"/>
    </row>
    <row r="20" spans="1:107">
      <c r="A20" s="7" t="str">
        <f>Text!B18</f>
        <v>GRUPPE C</v>
      </c>
      <c r="E20" s="42"/>
      <c r="L20" s="42"/>
      <c r="S20" s="42"/>
      <c r="AB20" s="42"/>
      <c r="AE20" s="42"/>
      <c r="AG20" s="43"/>
      <c r="AH20" s="43"/>
      <c r="AJ20" s="42"/>
      <c r="AK20" s="3"/>
      <c r="AL20" s="43"/>
      <c r="AM20" s="43"/>
      <c r="AN20" s="43"/>
      <c r="AO20" s="42"/>
      <c r="AP20" s="3"/>
      <c r="AQ20" s="43"/>
      <c r="AR20" s="166"/>
      <c r="AS20" s="166"/>
      <c r="AT20" s="166"/>
      <c r="AU20" s="43"/>
      <c r="AV20" s="42"/>
      <c r="AW20" s="3"/>
      <c r="AX20" s="1"/>
      <c r="AY20" s="165"/>
      <c r="AZ20" s="165"/>
      <c r="BA20" s="165"/>
      <c r="BB20" s="7"/>
      <c r="BC20" s="166"/>
      <c r="BD20" s="166"/>
      <c r="BE20" s="166"/>
      <c r="BZ20" s="1"/>
      <c r="CA20" s="1"/>
      <c r="CK20" s="1"/>
      <c r="CL20" s="1"/>
      <c r="CO20" s="1"/>
      <c r="CP20" s="1"/>
      <c r="CQ20" s="1"/>
      <c r="CR20" s="1"/>
      <c r="CS20" s="1"/>
      <c r="CW20" s="1"/>
      <c r="CX20" s="1"/>
      <c r="CY20" s="1"/>
      <c r="CZ20" s="1"/>
      <c r="DA20" s="1"/>
      <c r="DB20" s="1"/>
      <c r="DC20" s="1"/>
    </row>
    <row r="21" spans="1:107" ht="39">
      <c r="A21" s="49" t="str">
        <f>Vorrunde!E24</f>
        <v>SC Buch am Erlbach/Kroatien</v>
      </c>
      <c r="B21" s="50">
        <f>IF(ISNUMBER(Vorrunde!H24),Vorrunde!H24,"")</f>
        <v>6</v>
      </c>
      <c r="C21" s="50">
        <f>IF(ISNUMBER(Vorrunde!J24),Vorrunde!J24,"")</f>
        <v>0</v>
      </c>
      <c r="D21" s="51" t="str">
        <f>Vorrunde!G24</f>
        <v>TSV Vilslern/Norwegen</v>
      </c>
      <c r="E21" s="52"/>
      <c r="F21" s="53"/>
      <c r="G21" s="54">
        <f>SUM(H22:K25)</f>
        <v>17</v>
      </c>
      <c r="H21" s="55" t="str">
        <f>Text!A19</f>
        <v>Kroatien</v>
      </c>
      <c r="I21" s="56" t="str">
        <f>Text!A20</f>
        <v>Norwegen</v>
      </c>
      <c r="J21" s="56" t="str">
        <f>Text!A21</f>
        <v>Portugal</v>
      </c>
      <c r="K21" s="57" t="str">
        <f>Text!A22</f>
        <v>Japan</v>
      </c>
      <c r="L21" s="52"/>
      <c r="M21" s="53"/>
      <c r="N21" s="54">
        <f>SUM(O22:R25)</f>
        <v>17</v>
      </c>
      <c r="O21" s="55" t="str">
        <f>Text!A19</f>
        <v>Kroatien</v>
      </c>
      <c r="P21" s="56" t="str">
        <f>Text!A20</f>
        <v>Norwegen</v>
      </c>
      <c r="Q21" s="56" t="str">
        <f>Text!A21</f>
        <v>Portugal</v>
      </c>
      <c r="R21" s="57" t="str">
        <f>Text!A22</f>
        <v>Japan</v>
      </c>
      <c r="S21" s="52"/>
      <c r="T21" s="53"/>
      <c r="W21" s="58" t="str">
        <f>Text!A$64</f>
        <v>Sp.</v>
      </c>
      <c r="X21" s="59" t="str">
        <f>Text!A$65</f>
        <v>Pkte.</v>
      </c>
      <c r="Y21" s="59" t="str">
        <f>Text!A$66</f>
        <v>T</v>
      </c>
      <c r="Z21" s="59" t="str">
        <f>Text!A$67</f>
        <v>GT</v>
      </c>
      <c r="AA21" s="60" t="str">
        <f>Text!A$68</f>
        <v>Diff.</v>
      </c>
      <c r="AB21" s="52"/>
      <c r="AC21" s="53"/>
      <c r="AE21" s="52"/>
      <c r="AF21" s="53"/>
      <c r="AG21" s="1"/>
      <c r="AJ21" s="52"/>
      <c r="AK21" s="53"/>
      <c r="AL21" s="53"/>
      <c r="AN21" s="1"/>
      <c r="AO21" s="52"/>
      <c r="AP21" s="53"/>
      <c r="AQ21" s="61">
        <f>MATCH(1,AH22:AH25,0)</f>
        <v>1</v>
      </c>
      <c r="AR21" s="1"/>
      <c r="AS21" s="1"/>
      <c r="AV21" s="52"/>
      <c r="AW21" s="53"/>
      <c r="AX21" s="43"/>
      <c r="AY21" s="1"/>
      <c r="BZ21" s="1"/>
      <c r="CA21" s="1"/>
      <c r="CK21" s="1"/>
      <c r="CL21" s="1"/>
      <c r="CO21" s="1"/>
      <c r="CP21" s="1"/>
      <c r="CQ21" s="1"/>
      <c r="CR21" s="1"/>
      <c r="CS21" s="1"/>
      <c r="CW21" s="1"/>
      <c r="CX21" s="1"/>
      <c r="CY21" s="1"/>
      <c r="CZ21" s="1"/>
      <c r="DA21" s="1"/>
      <c r="DB21" s="1"/>
      <c r="DC21" s="1"/>
    </row>
    <row r="22" spans="1:107">
      <c r="A22" s="62" t="str">
        <f>Vorrunde!E25</f>
        <v>SG Aham/Gerzen/Portugal</v>
      </c>
      <c r="B22" s="3">
        <f>IF(ISNUMBER(Vorrunde!H25),Vorrunde!H25,"")</f>
        <v>4</v>
      </c>
      <c r="C22" s="3">
        <f>IF(ISNUMBER(Vorrunde!J25),Vorrunde!J25,"")</f>
        <v>0</v>
      </c>
      <c r="D22" s="63" t="str">
        <f>Vorrunde!G25</f>
        <v>SC Pfettrach/Japan</v>
      </c>
      <c r="E22" s="42"/>
      <c r="G22" s="64" t="str">
        <f>Text!A19</f>
        <v>Kroatien</v>
      </c>
      <c r="H22" s="65"/>
      <c r="I22" s="66">
        <f>B21</f>
        <v>6</v>
      </c>
      <c r="J22" s="66">
        <f>B23</f>
        <v>1</v>
      </c>
      <c r="K22" s="67">
        <f>C25</f>
        <v>2</v>
      </c>
      <c r="L22" s="42"/>
      <c r="N22" s="64" t="str">
        <f>Text!A19</f>
        <v>Kroatien</v>
      </c>
      <c r="O22" s="65"/>
      <c r="P22" s="66">
        <f>IF(AND(ISNUMBER(I22),ISNUMBER(H23)),IF(I22&gt;H23,3,IF(I22=H23,1,0)),0)</f>
        <v>3</v>
      </c>
      <c r="Q22" s="66">
        <f>IF(AND(ISNUMBER(J22),ISNUMBER(H24)),IF(J22&gt;H24,3,IF(J22=H24,1,0)),0)</f>
        <v>3</v>
      </c>
      <c r="R22" s="67">
        <f>IF(AND(ISNUMBER(K22),ISNUMBER(H25)),IF(K22&gt;H25,3,IF(K22=H25,1,0)),0)</f>
        <v>3</v>
      </c>
      <c r="S22" s="42"/>
      <c r="U22" s="1">
        <v>1</v>
      </c>
      <c r="V22" s="68" t="str">
        <f>Text!B19</f>
        <v>SC Buch am Erlbach/Kroatien</v>
      </c>
      <c r="W22" s="69">
        <f>IF(COUNT(H22:K22)=COUNT(H22:H25),COUNT(H22:H25),"")</f>
        <v>3</v>
      </c>
      <c r="X22" s="66">
        <f>SUM(O22:R22)</f>
        <v>9</v>
      </c>
      <c r="Y22" s="66">
        <f>SUM(H22:K22)</f>
        <v>9</v>
      </c>
      <c r="Z22" s="66">
        <f>SUM(H22:H25)</f>
        <v>0</v>
      </c>
      <c r="AA22" s="67">
        <f>Y22-Z22</f>
        <v>9</v>
      </c>
      <c r="AB22" s="42"/>
      <c r="AD22" s="70">
        <f>BB22</f>
        <v>1</v>
      </c>
      <c r="AE22" s="42"/>
      <c r="AG22" s="68">
        <f>X22*10000+AA22*100+Y22</f>
        <v>90909</v>
      </c>
      <c r="AH22" s="68">
        <f>COUNTIF(AG22:AG25,AG22)</f>
        <v>1</v>
      </c>
      <c r="AI22" s="68" t="str">
        <f>IF(AH22=1,"x","")</f>
        <v>x</v>
      </c>
      <c r="AJ22" s="42"/>
      <c r="AK22" s="3"/>
      <c r="AL22" s="68">
        <f>IF(AI22="x",1,IF(AG23=AG22,2,IF(AG24=AG22,3,4)))</f>
        <v>1</v>
      </c>
      <c r="AM22" s="68">
        <f>INDEX(O22:R22,1,AL22)</f>
        <v>0</v>
      </c>
      <c r="AN22" s="71">
        <f>IF(OR(AH26=2,AH26=4),AM22/10,0)</f>
        <v>0</v>
      </c>
      <c r="AO22" s="42"/>
      <c r="AP22" s="3"/>
      <c r="AQ22" s="3"/>
      <c r="AR22" s="69">
        <f>X22-INDEX(O22:R22,1,AQ21)</f>
        <v>9</v>
      </c>
      <c r="AS22" s="68">
        <f>AA22-(INDEX(H22:K22,1,AQ21)-INDEX(H22:H25,AQ21,1))</f>
        <v>9</v>
      </c>
      <c r="AT22" s="69">
        <f>Y22-INDEX(H22:K22,1,AQ21)</f>
        <v>9</v>
      </c>
      <c r="AU22" s="71">
        <f>IF(OR(AH26&lt;&gt;3,AI22="x"),0,AR22/10+AS22/1000+AT22/100000)</f>
        <v>0</v>
      </c>
      <c r="AV22" s="42"/>
      <c r="AW22" s="3"/>
      <c r="AX22" s="71">
        <f>AG22+AN22+AU22</f>
        <v>90909</v>
      </c>
      <c r="AY22" s="69">
        <f>IF(INDEX(AX22:AX25,U22)&gt;=INDEX(AX22:AX25,U23),U22,U23)</f>
        <v>1</v>
      </c>
      <c r="AZ22" s="66">
        <f>IF(INDEX(AX22:AX25,AY22)&gt;=INDEX(AX22:AX25,AY24),AY22,AY24)</f>
        <v>1</v>
      </c>
      <c r="BA22" s="67">
        <f>IF(INDEX(AX22:AX25,AZ22)&gt;=INDEX(AX22:AX25,AZ25),AZ22,AZ25)</f>
        <v>1</v>
      </c>
      <c r="BB22" s="70">
        <f>MATCH(U22,BA22:BA25,0)</f>
        <v>1</v>
      </c>
      <c r="BC22" s="69">
        <f>COUNTIF(AX22:AX25,AX22)</f>
        <v>1</v>
      </c>
      <c r="BD22" s="67" t="str">
        <f>IF(BC22=1,"x","")</f>
        <v>x</v>
      </c>
      <c r="BE22" s="68">
        <f>(BD22="x")*BB22</f>
        <v>1</v>
      </c>
      <c r="BZ22" s="1"/>
      <c r="CA22" s="1"/>
      <c r="CK22" s="1"/>
      <c r="CL22" s="1"/>
      <c r="CO22" s="1"/>
      <c r="CP22" s="1"/>
      <c r="CQ22" s="1"/>
      <c r="CR22" s="1"/>
      <c r="CS22" s="1"/>
      <c r="CW22" s="1"/>
      <c r="CX22" s="1"/>
      <c r="CY22" s="1"/>
      <c r="CZ22" s="1"/>
      <c r="DA22" s="1"/>
      <c r="DB22" s="1"/>
      <c r="DC22" s="1"/>
    </row>
    <row r="23" spans="1:107">
      <c r="A23" s="62" t="str">
        <f>Vorrunde!E26</f>
        <v>SC Buch am Erlbach/Kroatien</v>
      </c>
      <c r="B23" s="3">
        <f>IF(ISNUMBER(Vorrunde!H26),Vorrunde!H26,"")</f>
        <v>1</v>
      </c>
      <c r="C23" s="3">
        <f>IF(ISNUMBER(Vorrunde!J26),Vorrunde!J26,"")</f>
        <v>0</v>
      </c>
      <c r="D23" s="63" t="str">
        <f>Vorrunde!G26</f>
        <v>SG Aham/Gerzen/Portugal</v>
      </c>
      <c r="E23" s="42"/>
      <c r="G23" s="72" t="str">
        <f>Text!A20</f>
        <v>Norwegen</v>
      </c>
      <c r="H23" s="73">
        <f>C21</f>
        <v>0</v>
      </c>
      <c r="I23" s="74"/>
      <c r="J23" s="1">
        <f>B26</f>
        <v>0</v>
      </c>
      <c r="K23" s="75">
        <f>C24</f>
        <v>1</v>
      </c>
      <c r="L23" s="42"/>
      <c r="N23" s="72" t="str">
        <f>Text!A20</f>
        <v>Norwegen</v>
      </c>
      <c r="O23" s="73">
        <f>IF(AND(ISNUMBER(H23),ISNUMBER(I22)),IF(H23&gt;I22,3,IF(H23=I22,1,0)),0)</f>
        <v>0</v>
      </c>
      <c r="P23" s="74"/>
      <c r="Q23" s="1">
        <f>IF(AND(ISNUMBER(J23),ISNUMBER(I24)),IF(J23&gt;I24,3,IF(J23=I24,1,0)),0)</f>
        <v>0</v>
      </c>
      <c r="R23" s="75">
        <f>IF(AND(ISNUMBER(K23),ISNUMBER(I25)),IF(K23&gt;I25,3,IF(K23=I25,1,0)),0)</f>
        <v>1</v>
      </c>
      <c r="S23" s="42"/>
      <c r="U23" s="1">
        <v>2</v>
      </c>
      <c r="V23" s="76" t="str">
        <f>Text!B20</f>
        <v>TSV Vilslern/Norwegen</v>
      </c>
      <c r="W23" s="73">
        <f>IF(COUNT(H23:K23)=COUNT(I22:I25),COUNT(I22:I25),"")</f>
        <v>3</v>
      </c>
      <c r="X23" s="1">
        <f>SUM(O23:R23)</f>
        <v>1</v>
      </c>
      <c r="Y23" s="1">
        <f>SUM(H23:K23)</f>
        <v>1</v>
      </c>
      <c r="Z23" s="1">
        <f>SUM(I22:I25)</f>
        <v>9</v>
      </c>
      <c r="AA23" s="75">
        <f>Y23-Z23</f>
        <v>-8</v>
      </c>
      <c r="AB23" s="42"/>
      <c r="AD23" s="77">
        <f>BB23</f>
        <v>4</v>
      </c>
      <c r="AE23" s="42"/>
      <c r="AG23" s="76">
        <f>X23*10000+AA23*100+Y23</f>
        <v>9201</v>
      </c>
      <c r="AH23" s="76">
        <f>COUNTIF(AG22:AG25,AG23)</f>
        <v>1</v>
      </c>
      <c r="AI23" s="76" t="str">
        <f>IF(AH23=1,"x","")</f>
        <v>x</v>
      </c>
      <c r="AJ23" s="42"/>
      <c r="AK23" s="3"/>
      <c r="AL23" s="76">
        <f>IF(AI23="x",2,IF(AG24=AG23,3,IF(AG25=AG23,4,1)))</f>
        <v>2</v>
      </c>
      <c r="AM23" s="76">
        <f>INDEX(O23:R23,1,AL23)</f>
        <v>0</v>
      </c>
      <c r="AN23" s="78">
        <f>IF(OR(AH26=2,AH26=4),AM23/10,0)</f>
        <v>0</v>
      </c>
      <c r="AO23" s="42"/>
      <c r="AP23" s="3"/>
      <c r="AQ23" s="3"/>
      <c r="AR23" s="73">
        <f>X23-INDEX(O23:R23,1,AQ21)</f>
        <v>1</v>
      </c>
      <c r="AS23" s="76">
        <f>AA23-(INDEX(H23:K23,1,AQ21)-INDEX(I22:I25,AQ21))</f>
        <v>-2</v>
      </c>
      <c r="AT23" s="73">
        <f>Y23-INDEX(H23:K23,1,AQ21)</f>
        <v>1</v>
      </c>
      <c r="AU23" s="78">
        <f>IF(OR(AH26&lt;&gt;3,AI23="x"),0,AR23/10+AS23/1000+AT23/100000)</f>
        <v>0</v>
      </c>
      <c r="AV23" s="42"/>
      <c r="AW23" s="3"/>
      <c r="AX23" s="78">
        <f>AG23+AN23+AU23</f>
        <v>9201</v>
      </c>
      <c r="AY23" s="73">
        <f>IF(INDEX(AX22:AX25,U23)&lt;=INDEX(AX22:AX25,U22),U23,U22)</f>
        <v>2</v>
      </c>
      <c r="AZ23" s="1">
        <f>IF(INDEX(AX22:AX25,AY23)&gt;=INDEX(AX22:AX25,AY25),AY23,AY25)</f>
        <v>4</v>
      </c>
      <c r="BA23" s="75">
        <f>IF(INDEX(AX22:AX25,AZ23)&gt;=INDEX(AX22:AX25,AZ24),AZ23,AZ24)</f>
        <v>3</v>
      </c>
      <c r="BB23" s="77">
        <f>MATCH(U23,BA22:BA25,0)</f>
        <v>4</v>
      </c>
      <c r="BC23" s="73">
        <f>COUNTIF(AX22:AX25,AX23)</f>
        <v>1</v>
      </c>
      <c r="BD23" s="75" t="str">
        <f>IF(BC23=1,"x","")</f>
        <v>x</v>
      </c>
      <c r="BE23" s="76">
        <f>(BD23="x")*BB23</f>
        <v>4</v>
      </c>
      <c r="BZ23" s="1"/>
      <c r="CA23" s="1"/>
      <c r="CK23" s="1"/>
      <c r="CL23" s="1"/>
      <c r="CO23" s="1"/>
      <c r="CP23" s="1"/>
      <c r="CQ23" s="1"/>
      <c r="CR23" s="1"/>
      <c r="CS23" s="1"/>
      <c r="CW23" s="1"/>
      <c r="CX23" s="1"/>
      <c r="CY23" s="1"/>
      <c r="CZ23" s="1"/>
      <c r="DA23" s="1"/>
      <c r="DB23" s="1"/>
      <c r="DC23" s="1"/>
    </row>
    <row r="24" spans="1:107">
      <c r="A24" s="62" t="str">
        <f>Vorrunde!E27</f>
        <v>SC Pfettrach/Japan</v>
      </c>
      <c r="B24" s="3">
        <f>IF(ISNUMBER(Vorrunde!H27),Vorrunde!H27,"")</f>
        <v>1</v>
      </c>
      <c r="C24" s="3">
        <f>IF(ISNUMBER(Vorrunde!J27),Vorrunde!J27,"")</f>
        <v>1</v>
      </c>
      <c r="D24" s="63" t="str">
        <f>Vorrunde!G27</f>
        <v>TSV Vilslern/Norwegen</v>
      </c>
      <c r="E24" s="42"/>
      <c r="G24" s="72" t="str">
        <f>Text!A21</f>
        <v>Portugal</v>
      </c>
      <c r="H24" s="73">
        <f>C23</f>
        <v>0</v>
      </c>
      <c r="I24" s="1">
        <f>C26</f>
        <v>2</v>
      </c>
      <c r="J24" s="74"/>
      <c r="K24" s="75">
        <f>B22</f>
        <v>4</v>
      </c>
      <c r="L24" s="42"/>
      <c r="N24" s="72" t="str">
        <f>Text!A21</f>
        <v>Portugal</v>
      </c>
      <c r="O24" s="73">
        <f>IF(AND(ISNUMBER(H24),ISNUMBER(J22)),IF(H24&gt;J22,3,IF(H24=J22,1,0)),0)</f>
        <v>0</v>
      </c>
      <c r="P24" s="1">
        <f>IF(AND(ISNUMBER(I24),ISNUMBER(J23)),IF(I24&gt;J23,3,IF(I24=J23,1,0)),0)</f>
        <v>3</v>
      </c>
      <c r="Q24" s="74"/>
      <c r="R24" s="75">
        <f>IF(AND(ISNUMBER(K24),ISNUMBER(J25)),IF(K24&gt;J25,3,IF(K24=J25,1,0)),0)</f>
        <v>3</v>
      </c>
      <c r="S24" s="42"/>
      <c r="U24" s="1">
        <v>3</v>
      </c>
      <c r="V24" s="76" t="str">
        <f>Text!B21</f>
        <v>SG Aham/Gerzen/Portugal</v>
      </c>
      <c r="W24" s="73">
        <f>IF(COUNT(H24:K24)=COUNT(J22:J25),COUNT(J22:J25),"")</f>
        <v>3</v>
      </c>
      <c r="X24" s="1">
        <f>SUM(O24:R24)</f>
        <v>6</v>
      </c>
      <c r="Y24" s="1">
        <f>SUM(H24:K24)</f>
        <v>6</v>
      </c>
      <c r="Z24" s="1">
        <f>SUM(J22:J25)</f>
        <v>1</v>
      </c>
      <c r="AA24" s="75">
        <f>Y24-Z24</f>
        <v>5</v>
      </c>
      <c r="AB24" s="42"/>
      <c r="AD24" s="77">
        <f>BB24</f>
        <v>2</v>
      </c>
      <c r="AE24" s="42"/>
      <c r="AG24" s="76">
        <f>X24*10000+AA24*100+Y24</f>
        <v>60506</v>
      </c>
      <c r="AH24" s="76">
        <f>COUNTIF(AG22:AG25,AG24)</f>
        <v>1</v>
      </c>
      <c r="AI24" s="76" t="str">
        <f>IF(AH24=1,"x","")</f>
        <v>x</v>
      </c>
      <c r="AJ24" s="42"/>
      <c r="AK24" s="3"/>
      <c r="AL24" s="76">
        <f>IF(AI24="x",3,IF(AG25=AG24,4,IF(AG23=AG24,2,1)))</f>
        <v>3</v>
      </c>
      <c r="AM24" s="76">
        <f>INDEX(O24:R24,1,AL24)</f>
        <v>0</v>
      </c>
      <c r="AN24" s="78">
        <f>IF(OR(AH26=2,AH26=4),AM24/10,0)</f>
        <v>0</v>
      </c>
      <c r="AO24" s="42"/>
      <c r="AP24" s="3"/>
      <c r="AQ24" s="3"/>
      <c r="AR24" s="73">
        <f>X24-INDEX(O24:R24,1,AQ21)</f>
        <v>6</v>
      </c>
      <c r="AS24" s="76">
        <f>AA24-(INDEX(H24:K24,1,AQ21)-INDEX(J22:J25,AQ21))</f>
        <v>6</v>
      </c>
      <c r="AT24" s="73">
        <f>Y24-INDEX(H24:K24,1,AQ21)</f>
        <v>6</v>
      </c>
      <c r="AU24" s="78">
        <f>IF(OR(AH26&lt;&gt;3,AI24="x"),0,AR24/10+AS24/1000+AT24/100000)</f>
        <v>0</v>
      </c>
      <c r="AV24" s="42"/>
      <c r="AW24" s="3"/>
      <c r="AX24" s="78">
        <f>AG24+AN24+AU24</f>
        <v>60506</v>
      </c>
      <c r="AY24" s="73">
        <f>IF(INDEX(AX22:AX25,U24)&gt;=INDEX(AX22:AX25,U25),U24,U25)</f>
        <v>3</v>
      </c>
      <c r="AZ24" s="1">
        <f>IF(INDEX(AX22:AX25,AY24)&lt;=INDEX(AX22:AX25,AY22),AY24,AY22)</f>
        <v>3</v>
      </c>
      <c r="BA24" s="75">
        <f>IF(INDEX(AX22:AX25,AZ24)&lt;=INDEX(AX22:AX25,AZ23),AZ24,AZ23)</f>
        <v>4</v>
      </c>
      <c r="BB24" s="77">
        <f>MATCH(U24,BA22:BA25,0)</f>
        <v>2</v>
      </c>
      <c r="BC24" s="73">
        <f>COUNTIF(AX22:AX25,AX24)</f>
        <v>1</v>
      </c>
      <c r="BD24" s="75" t="str">
        <f>IF(BC24=1,"x","")</f>
        <v>x</v>
      </c>
      <c r="BE24" s="76">
        <f>(BD24="x")*BB24</f>
        <v>2</v>
      </c>
      <c r="BZ24" s="1"/>
      <c r="CA24" s="1"/>
      <c r="CK24" s="1"/>
      <c r="CL24" s="1"/>
      <c r="CO24" s="1"/>
      <c r="CP24" s="1"/>
      <c r="CQ24" s="1"/>
      <c r="CR24" s="1"/>
      <c r="CS24" s="1"/>
      <c r="CW24" s="1"/>
      <c r="CX24" s="1"/>
      <c r="CY24" s="1"/>
      <c r="CZ24" s="1"/>
      <c r="DA24" s="1"/>
      <c r="DB24" s="1"/>
      <c r="DC24" s="1"/>
    </row>
    <row r="25" spans="1:107">
      <c r="A25" s="62" t="str">
        <f>Vorrunde!E28</f>
        <v>SC Pfettrach/Japan</v>
      </c>
      <c r="B25" s="3">
        <f>IF(ISNUMBER(Vorrunde!H28),Vorrunde!H28,"")</f>
        <v>0</v>
      </c>
      <c r="C25" s="3">
        <f>IF(ISNUMBER(Vorrunde!J28),Vorrunde!J28,"")</f>
        <v>2</v>
      </c>
      <c r="D25" s="63" t="str">
        <f>Vorrunde!G28</f>
        <v>SC Buch am Erlbach/Kroatien</v>
      </c>
      <c r="E25" s="79"/>
      <c r="F25" s="1"/>
      <c r="G25" s="80" t="str">
        <f>Text!A22</f>
        <v>Japan</v>
      </c>
      <c r="H25" s="81">
        <f>B25</f>
        <v>0</v>
      </c>
      <c r="I25" s="82">
        <f>B24</f>
        <v>1</v>
      </c>
      <c r="J25" s="82">
        <f>C22</f>
        <v>0</v>
      </c>
      <c r="K25" s="83"/>
      <c r="L25" s="79"/>
      <c r="M25" s="1"/>
      <c r="N25" s="80" t="str">
        <f>Text!A22</f>
        <v>Japan</v>
      </c>
      <c r="O25" s="81">
        <f>IF(AND(ISNUMBER(H25),ISNUMBER(K22)),IF(H25&gt;K22,3,IF(H25=K22,1,0)),0)</f>
        <v>0</v>
      </c>
      <c r="P25" s="82">
        <f>IF(AND(ISNUMBER(I25),ISNUMBER(K23)),IF(I25&gt;K23,3,IF(I25=K23,1,0)),0)</f>
        <v>1</v>
      </c>
      <c r="Q25" s="82">
        <f>IF(AND(ISNUMBER(J25),ISNUMBER(K24)),IF(J25&gt;K24,3,IF(J25=K24,1,0)),0)</f>
        <v>0</v>
      </c>
      <c r="R25" s="83"/>
      <c r="S25" s="79"/>
      <c r="T25" s="1"/>
      <c r="U25" s="1">
        <v>4</v>
      </c>
      <c r="V25" s="84" t="str">
        <f>Text!B22</f>
        <v>SC Pfettrach/Japan</v>
      </c>
      <c r="W25" s="81">
        <f>IF(COUNT(H25:K25)=COUNT(K22:K25),COUNT(K22:K25),"")</f>
        <v>3</v>
      </c>
      <c r="X25" s="82">
        <f>SUM(O25:R25)</f>
        <v>1</v>
      </c>
      <c r="Y25" s="82">
        <f>SUM(H25:K25)</f>
        <v>1</v>
      </c>
      <c r="Z25" s="82">
        <f>SUM(K22:K25)</f>
        <v>7</v>
      </c>
      <c r="AA25" s="85">
        <f>Y25-Z25</f>
        <v>-6</v>
      </c>
      <c r="AB25" s="79"/>
      <c r="AC25" s="1"/>
      <c r="AD25" s="86">
        <f>BB25</f>
        <v>3</v>
      </c>
      <c r="AE25" s="79"/>
      <c r="AF25" s="1"/>
      <c r="AG25" s="84">
        <f>X25*10000+AA25*100+Y25</f>
        <v>9401</v>
      </c>
      <c r="AH25" s="84">
        <f>COUNTIF(AG22:AG25,AG25)</f>
        <v>1</v>
      </c>
      <c r="AI25" s="84" t="str">
        <f>IF(AH25=1,"x","")</f>
        <v>x</v>
      </c>
      <c r="AJ25" s="79"/>
      <c r="AL25" s="84">
        <f>IF(AI25="x",4,IF(AG22=AG25,1,IF(AG23=AG25,2,3)))</f>
        <v>4</v>
      </c>
      <c r="AM25" s="84">
        <f>INDEX(O25:R25,1,AL25)</f>
        <v>0</v>
      </c>
      <c r="AN25" s="87">
        <f>IF(OR(AH26=2,AH26=4),AM25/10,0)</f>
        <v>0</v>
      </c>
      <c r="AO25" s="79"/>
      <c r="AR25" s="81">
        <f>X25-INDEX(O25:R25,1,AQ21)</f>
        <v>1</v>
      </c>
      <c r="AS25" s="84">
        <f>AA25-(INDEX(H25:K25,1,AQ21)-INDEX(K22:K25,AQ21))</f>
        <v>-4</v>
      </c>
      <c r="AT25" s="81">
        <f>Y25-INDEX(H25:K25,1,AQ21)</f>
        <v>1</v>
      </c>
      <c r="AU25" s="87">
        <f>IF(OR(AH26&lt;&gt;3,AI25="x"),0,AR25/10+AS25/1000+AT25/100000)</f>
        <v>0</v>
      </c>
      <c r="AV25" s="79"/>
      <c r="AX25" s="87">
        <f>AG25+AN25+AU25</f>
        <v>9401</v>
      </c>
      <c r="AY25" s="81">
        <f>IF(INDEX(AX22:AX25,U25)&lt;=INDEX(AX22:AX25,U24),U25,U24)</f>
        <v>4</v>
      </c>
      <c r="AZ25" s="82">
        <f>IF(INDEX(AX22:AX25,AY25)&lt;=INDEX(AX22:AX25,AY23),AY25,AY23)</f>
        <v>2</v>
      </c>
      <c r="BA25" s="85">
        <f>IF(INDEX(AX22:AX25,AZ25)&lt;=INDEX(AX22:AX25,AZ22),AZ25,AZ22)</f>
        <v>2</v>
      </c>
      <c r="BB25" s="86">
        <f>MATCH(U25,BA22:BA25,0)</f>
        <v>3</v>
      </c>
      <c r="BC25" s="81">
        <f>COUNTIF(AX22:AX25,AX25)</f>
        <v>1</v>
      </c>
      <c r="BD25" s="85" t="str">
        <f>IF(BC25=1,"x","")</f>
        <v>x</v>
      </c>
      <c r="BE25" s="76">
        <f>(BD25="x")*BB25</f>
        <v>3</v>
      </c>
      <c r="BZ25" s="1"/>
      <c r="CA25" s="1"/>
      <c r="CK25" s="1"/>
      <c r="CL25" s="1"/>
      <c r="CO25" s="1"/>
      <c r="CP25" s="1"/>
      <c r="CQ25" s="1"/>
      <c r="CR25" s="1"/>
      <c r="CS25" s="1"/>
      <c r="CW25" s="1"/>
      <c r="CX25" s="1"/>
      <c r="CY25" s="1"/>
      <c r="CZ25" s="1"/>
      <c r="DA25" s="1"/>
      <c r="DB25" s="1"/>
      <c r="DC25" s="1"/>
    </row>
    <row r="26" spans="1:107">
      <c r="A26" s="88" t="str">
        <f>Vorrunde!E29</f>
        <v>TSV Vilslern/Norwegen</v>
      </c>
      <c r="B26" s="89">
        <f>IF(ISNUMBER(Vorrunde!H29),Vorrunde!H29,"")</f>
        <v>0</v>
      </c>
      <c r="C26" s="89">
        <f>IF(ISNUMBER(Vorrunde!J29),Vorrunde!J29,"")</f>
        <v>2</v>
      </c>
      <c r="D26" s="90" t="str">
        <f>Vorrunde!G29</f>
        <v>SG Aham/Gerzen/Portugal</v>
      </c>
      <c r="E26" s="42"/>
      <c r="L26" s="42"/>
      <c r="S26" s="42"/>
      <c r="V26" s="4" t="s">
        <v>83</v>
      </c>
      <c r="W26" s="1" t="b">
        <f>SUM(W22:W25)=12</f>
        <v>1</v>
      </c>
      <c r="AB26" s="42"/>
      <c r="AD26" s="86" t="str">
        <f>BF26</f>
        <v>Eindeutige Platzierung</v>
      </c>
      <c r="AE26" s="42"/>
      <c r="AG26" s="91" t="s">
        <v>84</v>
      </c>
      <c r="AH26" s="92">
        <f>MOD(MIN(AH22:AH25)*MAX(AH22:AH25),11)</f>
        <v>1</v>
      </c>
      <c r="AJ26" s="42"/>
      <c r="AK26" s="3"/>
      <c r="AL26" s="3"/>
      <c r="AN26" s="1"/>
      <c r="AO26" s="42"/>
      <c r="AP26" s="3"/>
      <c r="AQ26" s="3"/>
      <c r="AR26" s="1"/>
      <c r="AS26" s="1"/>
      <c r="AV26" s="42"/>
      <c r="AW26" s="3"/>
      <c r="AX26" s="1"/>
      <c r="AY26" s="1"/>
      <c r="BD26" s="93">
        <f>COUNTIF(BD22:BD25,"x")</f>
        <v>4</v>
      </c>
      <c r="BE26" s="92">
        <f>SUM(BE22:BE25)</f>
        <v>10</v>
      </c>
      <c r="BF26" s="92" t="str">
        <f>IF(W26,IF(BD26&gt;=3,Text!B$71,IF(AND(BD26=2,BE26=3),Text!B$72,Text!B$73)),"")</f>
        <v>Eindeutige Platzierung</v>
      </c>
      <c r="BZ26" s="1"/>
      <c r="CA26" s="1"/>
      <c r="CK26" s="1"/>
      <c r="CL26" s="1"/>
      <c r="CO26" s="1"/>
      <c r="CP26" s="1"/>
      <c r="CQ26" s="1"/>
      <c r="CR26" s="1"/>
      <c r="CS26" s="1"/>
      <c r="CW26" s="1"/>
      <c r="CX26" s="1"/>
      <c r="CY26" s="1"/>
      <c r="CZ26" s="1"/>
      <c r="DA26" s="1"/>
      <c r="DB26" s="1"/>
      <c r="DC26" s="1"/>
    </row>
    <row r="27" spans="1:107">
      <c r="A27" s="7"/>
      <c r="E27" s="42"/>
      <c r="L27" s="42"/>
      <c r="S27" s="42"/>
      <c r="AB27" s="42"/>
      <c r="AE27" s="42"/>
      <c r="AG27" s="43"/>
      <c r="AH27" s="43"/>
      <c r="AJ27" s="42"/>
      <c r="AK27" s="3"/>
      <c r="AL27" s="43"/>
      <c r="AM27" s="43"/>
      <c r="AN27" s="43"/>
      <c r="AO27" s="42"/>
      <c r="AP27" s="3"/>
      <c r="AQ27" s="43"/>
      <c r="AR27" s="166"/>
      <c r="AS27" s="166"/>
      <c r="AT27" s="166"/>
      <c r="AU27" s="43"/>
      <c r="AV27" s="42"/>
      <c r="AW27" s="3"/>
      <c r="AX27" s="1"/>
      <c r="AY27" s="165"/>
      <c r="AZ27" s="165"/>
      <c r="BA27" s="165"/>
      <c r="BB27" s="7"/>
      <c r="BC27" s="166"/>
      <c r="BD27" s="166"/>
      <c r="BE27" s="166"/>
      <c r="BZ27" s="1"/>
      <c r="CA27" s="1"/>
      <c r="CK27" s="1"/>
      <c r="CL27" s="1"/>
      <c r="CO27" s="1"/>
      <c r="CP27" s="1"/>
      <c r="CQ27" s="1"/>
      <c r="CR27" s="1"/>
      <c r="CS27" s="1"/>
      <c r="CW27" s="1"/>
      <c r="CX27" s="1"/>
      <c r="CY27" s="1"/>
      <c r="CZ27" s="1"/>
      <c r="DA27" s="1"/>
      <c r="DB27" s="1"/>
      <c r="DC27" s="1"/>
    </row>
    <row r="28" spans="1:107">
      <c r="A28" s="7" t="str">
        <f>Text!B26</f>
        <v>GRUPPE D</v>
      </c>
      <c r="E28" s="42"/>
      <c r="L28" s="42"/>
      <c r="S28" s="42"/>
      <c r="AB28" s="42"/>
      <c r="AE28" s="42"/>
      <c r="AG28" s="43"/>
      <c r="AH28" s="43"/>
      <c r="AJ28" s="42"/>
      <c r="AK28" s="3"/>
      <c r="AL28" s="43"/>
      <c r="AM28" s="43"/>
      <c r="AN28" s="43"/>
      <c r="AO28" s="42"/>
      <c r="AP28" s="3"/>
      <c r="AQ28" s="43"/>
      <c r="AR28" s="166"/>
      <c r="AS28" s="166"/>
      <c r="AT28" s="166"/>
      <c r="AU28" s="43"/>
      <c r="AV28" s="42"/>
      <c r="AW28" s="3"/>
      <c r="AX28" s="1"/>
      <c r="AY28" s="165"/>
      <c r="AZ28" s="165"/>
      <c r="BA28" s="165"/>
      <c r="BB28" s="7"/>
      <c r="BC28" s="166"/>
      <c r="BD28" s="166"/>
      <c r="BE28" s="166"/>
      <c r="BZ28" s="1"/>
      <c r="CA28" s="1"/>
      <c r="CK28" s="1"/>
      <c r="CL28" s="1"/>
      <c r="CO28" s="1"/>
      <c r="CP28" s="1"/>
      <c r="CQ28" s="1"/>
      <c r="CR28" s="1"/>
      <c r="CS28" s="1"/>
      <c r="CW28" s="1"/>
      <c r="CX28" s="1"/>
      <c r="CY28" s="1"/>
      <c r="CZ28" s="1"/>
      <c r="DA28" s="1"/>
      <c r="DB28" s="1"/>
      <c r="DC28" s="1"/>
    </row>
    <row r="29" spans="1:107" ht="53.4">
      <c r="A29" s="49" t="str">
        <f>Vorrunde!E32</f>
        <v>TSV Rohr/Südkorea</v>
      </c>
      <c r="B29" s="50">
        <f>IF(ISNUMBER(Vorrunde!H32),Vorrunde!H32,"")</f>
        <v>1</v>
      </c>
      <c r="C29" s="50">
        <f>IF(ISNUMBER(Vorrunde!J32),Vorrunde!J32,"")</f>
        <v>4</v>
      </c>
      <c r="D29" s="51" t="str">
        <f>Vorrunde!G32</f>
        <v>TSV Vilsbiburg/Mexiko</v>
      </c>
      <c r="E29" s="52"/>
      <c r="F29" s="53"/>
      <c r="G29" s="54">
        <f>SUM(H30:K33)</f>
        <v>16</v>
      </c>
      <c r="H29" s="55" t="str">
        <f>Text!A27</f>
        <v>Südkorea</v>
      </c>
      <c r="I29" s="56" t="str">
        <f>Text!A28</f>
        <v>Mexiko</v>
      </c>
      <c r="J29" s="56" t="str">
        <f>Text!A29</f>
        <v>Elfenbeinküste</v>
      </c>
      <c r="K29" s="57" t="str">
        <f>Text!A30</f>
        <v>Niederlande</v>
      </c>
      <c r="L29" s="52"/>
      <c r="M29" s="53"/>
      <c r="N29" s="54">
        <f>SUM(O30:R33)</f>
        <v>18</v>
      </c>
      <c r="O29" s="55" t="str">
        <f>Text!A27</f>
        <v>Südkorea</v>
      </c>
      <c r="P29" s="56" t="str">
        <f>Text!A28</f>
        <v>Mexiko</v>
      </c>
      <c r="Q29" s="56" t="str">
        <f>Text!A29</f>
        <v>Elfenbeinküste</v>
      </c>
      <c r="R29" s="57" t="str">
        <f>Text!A30</f>
        <v>Niederlande</v>
      </c>
      <c r="S29" s="52"/>
      <c r="T29" s="53"/>
      <c r="W29" s="58" t="str">
        <f>Text!A$64</f>
        <v>Sp.</v>
      </c>
      <c r="X29" s="59" t="str">
        <f>Text!A$65</f>
        <v>Pkte.</v>
      </c>
      <c r="Y29" s="59" t="str">
        <f>Text!A$66</f>
        <v>T</v>
      </c>
      <c r="Z29" s="59" t="str">
        <f>Text!A$67</f>
        <v>GT</v>
      </c>
      <c r="AA29" s="60" t="str">
        <f>Text!A$68</f>
        <v>Diff.</v>
      </c>
      <c r="AB29" s="52"/>
      <c r="AC29" s="53"/>
      <c r="AE29" s="52"/>
      <c r="AF29" s="53"/>
      <c r="AG29" s="1"/>
      <c r="AJ29" s="52"/>
      <c r="AK29" s="53"/>
      <c r="AL29" s="53"/>
      <c r="AN29" s="1"/>
      <c r="AO29" s="52"/>
      <c r="AP29" s="53"/>
      <c r="AQ29" s="61">
        <f>MATCH(1,AH30:AH33,0)</f>
        <v>1</v>
      </c>
      <c r="AR29" s="1"/>
      <c r="AS29" s="1"/>
      <c r="AV29" s="52"/>
      <c r="AW29" s="53"/>
      <c r="AX29" s="43"/>
      <c r="AY29" s="1"/>
      <c r="BZ29" s="1"/>
      <c r="CA29" s="1"/>
      <c r="CK29" s="1"/>
      <c r="CL29" s="1"/>
      <c r="CO29" s="1"/>
      <c r="CP29" s="1"/>
      <c r="CQ29" s="1"/>
      <c r="CR29" s="1"/>
      <c r="CS29" s="1"/>
      <c r="CW29" s="1"/>
      <c r="CX29" s="1"/>
      <c r="CY29" s="1"/>
      <c r="CZ29" s="1"/>
      <c r="DA29" s="1"/>
      <c r="DB29" s="1"/>
      <c r="DC29" s="1"/>
    </row>
    <row r="30" spans="1:107">
      <c r="A30" s="62" t="str">
        <f>Vorrunde!E33</f>
        <v>SSV 1983 Weng/Elfenbeinküste</v>
      </c>
      <c r="B30" s="3">
        <f>IF(ISNUMBER(Vorrunde!H33),Vorrunde!H33,"")</f>
        <v>0</v>
      </c>
      <c r="C30" s="3">
        <f>IF(ISNUMBER(Vorrunde!J33),Vorrunde!J33,"")</f>
        <v>1</v>
      </c>
      <c r="D30" s="63" t="str">
        <f>Vorrunde!G33</f>
        <v>SG Mallersdorf/Grafentraubach/Niederlande</v>
      </c>
      <c r="E30" s="42"/>
      <c r="G30" s="64" t="str">
        <f>Text!A27</f>
        <v>Südkorea</v>
      </c>
      <c r="H30" s="65"/>
      <c r="I30" s="66">
        <f>B29</f>
        <v>1</v>
      </c>
      <c r="J30" s="66">
        <f>B31</f>
        <v>0</v>
      </c>
      <c r="K30" s="67">
        <f>C33</f>
        <v>0</v>
      </c>
      <c r="L30" s="42"/>
      <c r="N30" s="64" t="str">
        <f>Text!A27</f>
        <v>Südkorea</v>
      </c>
      <c r="O30" s="65"/>
      <c r="P30" s="66">
        <f>IF(AND(ISNUMBER(I30),ISNUMBER(H31)),IF(I30&gt;H31,3,IF(I30=H31,1,0)),0)</f>
        <v>0</v>
      </c>
      <c r="Q30" s="66">
        <f>IF(AND(ISNUMBER(J30),ISNUMBER(H32)),IF(J30&gt;H32,3,IF(J30=H32,1,0)),0)</f>
        <v>0</v>
      </c>
      <c r="R30" s="67">
        <f>IF(AND(ISNUMBER(K30),ISNUMBER(H33)),IF(K30&gt;H33,3,IF(K30=H33,1,0)),0)</f>
        <v>0</v>
      </c>
      <c r="S30" s="42"/>
      <c r="U30" s="1">
        <v>1</v>
      </c>
      <c r="V30" s="68" t="str">
        <f>Text!B27</f>
        <v>TSV Rohr/Südkorea</v>
      </c>
      <c r="W30" s="69">
        <f>IF(COUNT(H30:K30)=COUNT(H30:H33),COUNT(H30:H33),"")</f>
        <v>3</v>
      </c>
      <c r="X30" s="66">
        <f>SUM(O30:R30)</f>
        <v>0</v>
      </c>
      <c r="Y30" s="66">
        <f>SUM(H30:K30)</f>
        <v>1</v>
      </c>
      <c r="Z30" s="66">
        <f>SUM(H30:H33)</f>
        <v>7</v>
      </c>
      <c r="AA30" s="67">
        <f>Y30-Z30</f>
        <v>-6</v>
      </c>
      <c r="AB30" s="42"/>
      <c r="AD30" s="70">
        <f>BB30</f>
        <v>4</v>
      </c>
      <c r="AE30" s="42"/>
      <c r="AG30" s="68">
        <f>X30*10000+AA30*100+Y30</f>
        <v>-599</v>
      </c>
      <c r="AH30" s="68">
        <f>COUNTIF(AG30:AG33,AG30)</f>
        <v>1</v>
      </c>
      <c r="AI30" s="68" t="str">
        <f>IF(AH30=1,"x","")</f>
        <v>x</v>
      </c>
      <c r="AJ30" s="42"/>
      <c r="AK30" s="3"/>
      <c r="AL30" s="68">
        <f>IF(AI30="x",1,IF(AG31=AG30,2,IF(AG32=AG30,3,4)))</f>
        <v>1</v>
      </c>
      <c r="AM30" s="68">
        <f>INDEX(O30:R30,1,AL30)</f>
        <v>0</v>
      </c>
      <c r="AN30" s="71">
        <f>IF(OR(AH34=2,AH34=4),AM30/10,0)</f>
        <v>0</v>
      </c>
      <c r="AO30" s="42"/>
      <c r="AP30" s="3"/>
      <c r="AQ30" s="3"/>
      <c r="AR30" s="69">
        <f>X30-INDEX(O30:R30,1,AQ29)</f>
        <v>0</v>
      </c>
      <c r="AS30" s="68">
        <f>AA30-(INDEX(H30:K30,1,AQ29)-INDEX(H30:H33,AQ29,1))</f>
        <v>-6</v>
      </c>
      <c r="AT30" s="69">
        <f>Y30-INDEX(H30:K30,1,AQ29)</f>
        <v>1</v>
      </c>
      <c r="AU30" s="71">
        <f>IF(OR(AH34&lt;&gt;3,AI30="x"),0,AR30/10+AS30/1000+AT30/100000)</f>
        <v>0</v>
      </c>
      <c r="AV30" s="42"/>
      <c r="AW30" s="3"/>
      <c r="AX30" s="71">
        <f>AG30+AN30+AU30</f>
        <v>-599</v>
      </c>
      <c r="AY30" s="69">
        <f>IF(INDEX(AX30:AX33,U30)&gt;=INDEX(AX30:AX33,U31),U30,U31)</f>
        <v>2</v>
      </c>
      <c r="AZ30" s="66">
        <f>IF(INDEX(AX30:AX33,AY30)&gt;=INDEX(AX30:AX33,AY32),AY30,AY32)</f>
        <v>4</v>
      </c>
      <c r="BA30" s="67">
        <f>IF(INDEX(AX30:AX33,AZ30)&gt;=INDEX(AX30:AX33,AZ33),AZ30,AZ33)</f>
        <v>4</v>
      </c>
      <c r="BB30" s="70">
        <f>MATCH(U30,BA30:BA33,0)</f>
        <v>4</v>
      </c>
      <c r="BC30" s="69">
        <f>COUNTIF(AX30:AX33,AX30)</f>
        <v>1</v>
      </c>
      <c r="BD30" s="67" t="str">
        <f>IF(BC30=1,"x","")</f>
        <v>x</v>
      </c>
      <c r="BE30" s="68">
        <f>(BD30="x")*BB30</f>
        <v>4</v>
      </c>
      <c r="BZ30" s="1"/>
      <c r="CA30" s="1"/>
      <c r="CK30" s="1"/>
      <c r="CL30" s="1"/>
      <c r="CO30" s="1"/>
      <c r="CP30" s="1"/>
      <c r="CQ30" s="1"/>
      <c r="CR30" s="1"/>
      <c r="CS30" s="1"/>
      <c r="CW30" s="1"/>
      <c r="CX30" s="1"/>
      <c r="CY30" s="1"/>
      <c r="CZ30" s="1"/>
      <c r="DA30" s="1"/>
      <c r="DB30" s="1"/>
      <c r="DC30" s="1"/>
    </row>
    <row r="31" spans="1:107">
      <c r="A31" s="62" t="str">
        <f>Vorrunde!E34</f>
        <v>TSV Rohr/Südkorea</v>
      </c>
      <c r="B31" s="3">
        <f>IF(ISNUMBER(Vorrunde!H34),Vorrunde!H34,"")</f>
        <v>0</v>
      </c>
      <c r="C31" s="3">
        <f>IF(ISNUMBER(Vorrunde!J34),Vorrunde!J34,"")</f>
        <v>2</v>
      </c>
      <c r="D31" s="63" t="str">
        <f>Vorrunde!G34</f>
        <v>SSV 1983 Weng/Elfenbeinküste</v>
      </c>
      <c r="E31" s="42"/>
      <c r="G31" s="72" t="str">
        <f>Text!A28</f>
        <v>Mexiko</v>
      </c>
      <c r="H31" s="73">
        <f>C29</f>
        <v>4</v>
      </c>
      <c r="I31" s="74"/>
      <c r="J31" s="1">
        <f>B34</f>
        <v>2</v>
      </c>
      <c r="K31" s="75">
        <f>C32</f>
        <v>1</v>
      </c>
      <c r="L31" s="42"/>
      <c r="N31" s="72" t="str">
        <f>Text!A28</f>
        <v>Mexiko</v>
      </c>
      <c r="O31" s="73">
        <f>IF(AND(ISNUMBER(H31),ISNUMBER(I30)),IF(H31&gt;I30,3,IF(H31=I30,1,0)),0)</f>
        <v>3</v>
      </c>
      <c r="P31" s="74"/>
      <c r="Q31" s="1">
        <f>IF(AND(ISNUMBER(J31),ISNUMBER(I32)),IF(J31&gt;I32,3,IF(J31=I32,1,0)),0)</f>
        <v>3</v>
      </c>
      <c r="R31" s="75">
        <f>IF(AND(ISNUMBER(K31),ISNUMBER(I33)),IF(K31&gt;I33,3,IF(K31=I33,1,0)),0)</f>
        <v>0</v>
      </c>
      <c r="S31" s="42"/>
      <c r="U31" s="1">
        <v>2</v>
      </c>
      <c r="V31" s="76" t="str">
        <f>Text!B28</f>
        <v>TSV Vilsbiburg/Mexiko</v>
      </c>
      <c r="W31" s="73">
        <f>IF(COUNT(H31:K31)=COUNT(I30:I33),COUNT(I30:I33),"")</f>
        <v>3</v>
      </c>
      <c r="X31" s="1">
        <f>SUM(O31:R31)</f>
        <v>6</v>
      </c>
      <c r="Y31" s="1">
        <f>SUM(H31:K31)</f>
        <v>7</v>
      </c>
      <c r="Z31" s="1">
        <f>SUM(I30:I33)</f>
        <v>5</v>
      </c>
      <c r="AA31" s="75">
        <f>Y31-Z31</f>
        <v>2</v>
      </c>
      <c r="AB31" s="42"/>
      <c r="AD31" s="77">
        <f>BB31</f>
        <v>2</v>
      </c>
      <c r="AE31" s="42"/>
      <c r="AG31" s="76">
        <f>X31*10000+AA31*100+Y31</f>
        <v>60207</v>
      </c>
      <c r="AH31" s="76">
        <f>COUNTIF(AG30:AG33,AG31)</f>
        <v>1</v>
      </c>
      <c r="AI31" s="76" t="str">
        <f>IF(AH31=1,"x","")</f>
        <v>x</v>
      </c>
      <c r="AJ31" s="42"/>
      <c r="AK31" s="3"/>
      <c r="AL31" s="76">
        <f>IF(AI31="x",2,IF(AG32=AG31,3,IF(AG33=AG31,4,1)))</f>
        <v>2</v>
      </c>
      <c r="AM31" s="76">
        <f>INDEX(O31:R31,1,AL31)</f>
        <v>0</v>
      </c>
      <c r="AN31" s="78">
        <f>IF(OR(AH34=2,AH34=4),AM31/10,0)</f>
        <v>0</v>
      </c>
      <c r="AO31" s="42"/>
      <c r="AP31" s="3"/>
      <c r="AQ31" s="3"/>
      <c r="AR31" s="73">
        <f>X31-INDEX(O31:R31,1,AQ29)</f>
        <v>3</v>
      </c>
      <c r="AS31" s="76">
        <f>AA31-(INDEX(H31:K31,1,AQ29)-INDEX(I30:I33,AQ29))</f>
        <v>-1</v>
      </c>
      <c r="AT31" s="73">
        <f>Y31-INDEX(H31:K31,1,AQ29)</f>
        <v>3</v>
      </c>
      <c r="AU31" s="78">
        <f>IF(OR(AH34&lt;&gt;3,AI31="x"),0,AR31/10+AS31/1000+AT31/100000)</f>
        <v>0</v>
      </c>
      <c r="AV31" s="42"/>
      <c r="AW31" s="3"/>
      <c r="AX31" s="78">
        <f>AG31+AN31+AU31</f>
        <v>60207</v>
      </c>
      <c r="AY31" s="73">
        <f>IF(INDEX(AX30:AX33,U31)&lt;=INDEX(AX30:AX33,U30),U31,U30)</f>
        <v>1</v>
      </c>
      <c r="AZ31" s="1">
        <f>IF(INDEX(AX30:AX33,AY31)&gt;=INDEX(AX30:AX33,AY33),AY31,AY33)</f>
        <v>3</v>
      </c>
      <c r="BA31" s="75">
        <f>IF(INDEX(AX30:AX33,AZ31)&gt;=INDEX(AX30:AX33,AZ32),AZ31,AZ32)</f>
        <v>2</v>
      </c>
      <c r="BB31" s="77">
        <f>MATCH(U31,BA30:BA33,0)</f>
        <v>2</v>
      </c>
      <c r="BC31" s="73">
        <f>COUNTIF(AX30:AX33,AX31)</f>
        <v>1</v>
      </c>
      <c r="BD31" s="75" t="str">
        <f>IF(BC31=1,"x","")</f>
        <v>x</v>
      </c>
      <c r="BE31" s="76">
        <f>(BD31="x")*BB31</f>
        <v>2</v>
      </c>
      <c r="BZ31" s="1"/>
      <c r="CA31" s="1"/>
      <c r="CK31" s="1"/>
      <c r="CL31" s="1"/>
      <c r="CO31" s="1"/>
      <c r="CP31" s="1"/>
      <c r="CQ31" s="1"/>
      <c r="CR31" s="1"/>
      <c r="CS31" s="1"/>
      <c r="CW31" s="1"/>
      <c r="CX31" s="1"/>
      <c r="CY31" s="1"/>
      <c r="CZ31" s="1"/>
      <c r="DA31" s="1"/>
      <c r="DB31" s="1"/>
      <c r="DC31" s="1"/>
    </row>
    <row r="32" spans="1:107">
      <c r="A32" s="62" t="str">
        <f>Vorrunde!E35</f>
        <v>SG Mallersdorf/Grafentraubach/Niederlande</v>
      </c>
      <c r="B32" s="3">
        <f>IF(ISNUMBER(Vorrunde!H35),Vorrunde!H35,"")</f>
        <v>3</v>
      </c>
      <c r="C32" s="3">
        <f>IF(ISNUMBER(Vorrunde!J35),Vorrunde!J35,"")</f>
        <v>1</v>
      </c>
      <c r="D32" s="63" t="str">
        <f>Vorrunde!G35</f>
        <v>TSV Vilsbiburg/Mexiko</v>
      </c>
      <c r="E32" s="42"/>
      <c r="G32" s="72" t="str">
        <f>Text!A29</f>
        <v>Elfenbeinküste</v>
      </c>
      <c r="H32" s="73">
        <f>C31</f>
        <v>2</v>
      </c>
      <c r="I32" s="1">
        <f>C34</f>
        <v>1</v>
      </c>
      <c r="J32" s="74"/>
      <c r="K32" s="75">
        <f>B30</f>
        <v>0</v>
      </c>
      <c r="L32" s="42"/>
      <c r="N32" s="72" t="str">
        <f>Text!A29</f>
        <v>Elfenbeinküste</v>
      </c>
      <c r="O32" s="73">
        <f>IF(AND(ISNUMBER(H32),ISNUMBER(J30)),IF(H32&gt;J30,3,IF(H32=J30,1,0)),0)</f>
        <v>3</v>
      </c>
      <c r="P32" s="1">
        <f>IF(AND(ISNUMBER(I32),ISNUMBER(J31)),IF(I32&gt;J31,3,IF(I32=J31,1,0)),0)</f>
        <v>0</v>
      </c>
      <c r="Q32" s="74"/>
      <c r="R32" s="75">
        <f>IF(AND(ISNUMBER(K32),ISNUMBER(J33)),IF(K32&gt;J33,3,IF(K32=J33,1,0)),0)</f>
        <v>0</v>
      </c>
      <c r="S32" s="42"/>
      <c r="U32" s="1">
        <v>3</v>
      </c>
      <c r="V32" s="76" t="str">
        <f>Text!B29</f>
        <v>SSV 1983 Weng/Elfenbeinküste</v>
      </c>
      <c r="W32" s="73">
        <f>IF(COUNT(H32:K32)=COUNT(J30:J33),COUNT(J30:J33),"")</f>
        <v>3</v>
      </c>
      <c r="X32" s="1">
        <f>SUM(O32:R32)</f>
        <v>3</v>
      </c>
      <c r="Y32" s="1">
        <f>SUM(H32:K32)</f>
        <v>3</v>
      </c>
      <c r="Z32" s="1">
        <f>SUM(J30:J33)</f>
        <v>3</v>
      </c>
      <c r="AA32" s="75">
        <f>Y32-Z32</f>
        <v>0</v>
      </c>
      <c r="AB32" s="42"/>
      <c r="AD32" s="77">
        <f>BB32</f>
        <v>3</v>
      </c>
      <c r="AE32" s="42"/>
      <c r="AG32" s="76">
        <f>X32*10000+AA32*100+Y32</f>
        <v>30003</v>
      </c>
      <c r="AH32" s="76">
        <f>COUNTIF(AG30:AG33,AG32)</f>
        <v>1</v>
      </c>
      <c r="AI32" s="76" t="str">
        <f>IF(AH32=1,"x","")</f>
        <v>x</v>
      </c>
      <c r="AJ32" s="42"/>
      <c r="AK32" s="3"/>
      <c r="AL32" s="76">
        <f>IF(AI32="x",3,IF(AG33=AG32,4,IF(AG31=AG32,2,1)))</f>
        <v>3</v>
      </c>
      <c r="AM32" s="76">
        <f>INDEX(O32:R32,1,AL32)</f>
        <v>0</v>
      </c>
      <c r="AN32" s="78">
        <f>IF(OR(AH34=2,AH34=4),AM32/10,0)</f>
        <v>0</v>
      </c>
      <c r="AO32" s="42"/>
      <c r="AP32" s="3"/>
      <c r="AQ32" s="3"/>
      <c r="AR32" s="73">
        <f>X32-INDEX(O32:R32,1,AQ29)</f>
        <v>0</v>
      </c>
      <c r="AS32" s="76">
        <f>AA32-(INDEX(H32:K32,1,AQ29)-INDEX(J30:J33,AQ29))</f>
        <v>-2</v>
      </c>
      <c r="AT32" s="73">
        <f>Y32-INDEX(H32:K32,1,AQ29)</f>
        <v>1</v>
      </c>
      <c r="AU32" s="78">
        <f>IF(OR(AH34&lt;&gt;3,AI32="x"),0,AR32/10+AS32/1000+AT32/100000)</f>
        <v>0</v>
      </c>
      <c r="AV32" s="42"/>
      <c r="AW32" s="3"/>
      <c r="AX32" s="78">
        <f>AG32+AN32+AU32</f>
        <v>30003</v>
      </c>
      <c r="AY32" s="73">
        <f>IF(INDEX(AX30:AX33,U32)&gt;=INDEX(AX30:AX33,U33),U32,U33)</f>
        <v>4</v>
      </c>
      <c r="AZ32" s="1">
        <f>IF(INDEX(AX30:AX33,AY32)&lt;=INDEX(AX30:AX33,AY30),AY32,AY30)</f>
        <v>2</v>
      </c>
      <c r="BA32" s="75">
        <f>IF(INDEX(AX30:AX33,AZ32)&lt;=INDEX(AX30:AX33,AZ31),AZ32,AZ31)</f>
        <v>3</v>
      </c>
      <c r="BB32" s="77">
        <f>MATCH(U32,BA30:BA33,0)</f>
        <v>3</v>
      </c>
      <c r="BC32" s="73">
        <f>COUNTIF(AX30:AX33,AX32)</f>
        <v>1</v>
      </c>
      <c r="BD32" s="75" t="str">
        <f>IF(BC32=1,"x","")</f>
        <v>x</v>
      </c>
      <c r="BE32" s="76">
        <f>(BD32="x")*BB32</f>
        <v>3</v>
      </c>
      <c r="BZ32" s="1"/>
      <c r="CA32" s="1"/>
      <c r="CK32" s="1"/>
      <c r="CL32" s="1"/>
      <c r="CO32" s="1"/>
      <c r="CP32" s="1"/>
      <c r="CQ32" s="1"/>
      <c r="CR32" s="1"/>
      <c r="CS32" s="1"/>
      <c r="CW32" s="1"/>
      <c r="CX32" s="1"/>
      <c r="CY32" s="1"/>
      <c r="CZ32" s="1"/>
      <c r="DA32" s="1"/>
      <c r="DB32" s="1"/>
      <c r="DC32" s="1"/>
    </row>
    <row r="33" spans="1:107">
      <c r="A33" s="62" t="str">
        <f>Vorrunde!E36</f>
        <v>SG Mallersdorf/Grafentraubach/Niederlande</v>
      </c>
      <c r="B33" s="3">
        <f>IF(ISNUMBER(Vorrunde!H36),Vorrunde!H36,"")</f>
        <v>1</v>
      </c>
      <c r="C33" s="3">
        <f>IF(ISNUMBER(Vorrunde!J36),Vorrunde!J36,"")</f>
        <v>0</v>
      </c>
      <c r="D33" s="63" t="str">
        <f>Vorrunde!G36</f>
        <v>TSV Rohr/Südkorea</v>
      </c>
      <c r="E33" s="79"/>
      <c r="F33" s="1"/>
      <c r="G33" s="80" t="str">
        <f>Text!A30</f>
        <v>Niederlande</v>
      </c>
      <c r="H33" s="81">
        <f>B33</f>
        <v>1</v>
      </c>
      <c r="I33" s="82">
        <f>B32</f>
        <v>3</v>
      </c>
      <c r="J33" s="82">
        <f>C30</f>
        <v>1</v>
      </c>
      <c r="K33" s="83"/>
      <c r="L33" s="79"/>
      <c r="M33" s="1"/>
      <c r="N33" s="80" t="str">
        <f>Text!A30</f>
        <v>Niederlande</v>
      </c>
      <c r="O33" s="81">
        <f>IF(AND(ISNUMBER(H33),ISNUMBER(K30)),IF(H33&gt;K30,3,IF(H33=K30,1,0)),0)</f>
        <v>3</v>
      </c>
      <c r="P33" s="82">
        <f>IF(AND(ISNUMBER(I33),ISNUMBER(K31)),IF(I33&gt;K31,3,IF(I33=K31,1,0)),0)</f>
        <v>3</v>
      </c>
      <c r="Q33" s="82">
        <f>IF(AND(ISNUMBER(J33),ISNUMBER(K32)),IF(J33&gt;K32,3,IF(J33=K32,1,0)),0)</f>
        <v>3</v>
      </c>
      <c r="R33" s="83"/>
      <c r="S33" s="79"/>
      <c r="T33" s="1"/>
      <c r="U33" s="1">
        <v>4</v>
      </c>
      <c r="V33" s="84" t="str">
        <f>Text!B30</f>
        <v>SG Mallersdorf/Grafentraubach/Niederlande</v>
      </c>
      <c r="W33" s="81">
        <f>IF(COUNT(H33:K33)=COUNT(K30:K33),COUNT(K30:K33),"")</f>
        <v>3</v>
      </c>
      <c r="X33" s="82">
        <f>SUM(O33:R33)</f>
        <v>9</v>
      </c>
      <c r="Y33" s="82">
        <f>SUM(H33:K33)</f>
        <v>5</v>
      </c>
      <c r="Z33" s="82">
        <f>SUM(K30:K33)</f>
        <v>1</v>
      </c>
      <c r="AA33" s="85">
        <f>Y33-Z33</f>
        <v>4</v>
      </c>
      <c r="AB33" s="79"/>
      <c r="AC33" s="1"/>
      <c r="AD33" s="86">
        <f>BB33</f>
        <v>1</v>
      </c>
      <c r="AE33" s="79"/>
      <c r="AF33" s="1"/>
      <c r="AG33" s="84">
        <f>X33*10000+AA33*100+Y33</f>
        <v>90405</v>
      </c>
      <c r="AH33" s="84">
        <f>COUNTIF(AG30:AG33,AG33)</f>
        <v>1</v>
      </c>
      <c r="AI33" s="84" t="str">
        <f>IF(AH33=1,"x","")</f>
        <v>x</v>
      </c>
      <c r="AJ33" s="79"/>
      <c r="AL33" s="84">
        <f>IF(AI33="x",4,IF(AG30=AG33,1,IF(AG31=AG33,2,3)))</f>
        <v>4</v>
      </c>
      <c r="AM33" s="84">
        <f>INDEX(O33:R33,1,AL33)</f>
        <v>0</v>
      </c>
      <c r="AN33" s="87">
        <f>IF(OR(AH34=2,AH34=4),AM33/10,0)</f>
        <v>0</v>
      </c>
      <c r="AO33" s="79"/>
      <c r="AR33" s="81">
        <f>X33-INDEX(O33:R33,1,AQ29)</f>
        <v>6</v>
      </c>
      <c r="AS33" s="84">
        <f>AA33-(INDEX(H33:K33,1,AQ29)-INDEX(K30:K33,AQ29))</f>
        <v>3</v>
      </c>
      <c r="AT33" s="81">
        <f>Y33-INDEX(H33:K33,1,AQ29)</f>
        <v>4</v>
      </c>
      <c r="AU33" s="87">
        <f>IF(OR(AH34&lt;&gt;3,AI33="x"),0,AR33/10+AS33/1000+AT33/100000)</f>
        <v>0</v>
      </c>
      <c r="AV33" s="79"/>
      <c r="AX33" s="87">
        <f>AG33+AN33+AU33</f>
        <v>90405</v>
      </c>
      <c r="AY33" s="81">
        <f>IF(INDEX(AX30:AX33,U33)&lt;=INDEX(AX30:AX33,U32),U33,U32)</f>
        <v>3</v>
      </c>
      <c r="AZ33" s="82">
        <f>IF(INDEX(AX30:AX33,AY33)&lt;=INDEX(AX30:AX33,AY31),AY33,AY31)</f>
        <v>1</v>
      </c>
      <c r="BA33" s="85">
        <f>IF(INDEX(AX30:AX33,AZ33)&lt;=INDEX(AX30:AX33,AZ30),AZ33,AZ30)</f>
        <v>1</v>
      </c>
      <c r="BB33" s="86">
        <f>MATCH(U33,BA30:BA33,0)</f>
        <v>1</v>
      </c>
      <c r="BC33" s="81">
        <f>COUNTIF(AX30:AX33,AX33)</f>
        <v>1</v>
      </c>
      <c r="BD33" s="85" t="str">
        <f>IF(BC33=1,"x","")</f>
        <v>x</v>
      </c>
      <c r="BE33" s="76">
        <f>(BD33="x")*BB33</f>
        <v>1</v>
      </c>
      <c r="BZ33" s="1"/>
      <c r="CA33" s="1"/>
      <c r="CK33" s="1"/>
      <c r="CL33" s="1"/>
      <c r="CO33" s="1"/>
      <c r="CP33" s="1"/>
      <c r="CQ33" s="1"/>
      <c r="CR33" s="1"/>
      <c r="CS33" s="1"/>
      <c r="CW33" s="1"/>
      <c r="CX33" s="1"/>
      <c r="CY33" s="1"/>
      <c r="CZ33" s="1"/>
      <c r="DA33" s="1"/>
      <c r="DB33" s="1"/>
      <c r="DC33" s="1"/>
    </row>
    <row r="34" spans="1:107">
      <c r="A34" s="88" t="str">
        <f>Vorrunde!E37</f>
        <v>TSV Vilsbiburg/Mexiko</v>
      </c>
      <c r="B34" s="89">
        <f>IF(ISNUMBER(Vorrunde!H37),Vorrunde!H37,"")</f>
        <v>2</v>
      </c>
      <c r="C34" s="89">
        <f>IF(ISNUMBER(Vorrunde!J37),Vorrunde!J37,"")</f>
        <v>1</v>
      </c>
      <c r="D34" s="90" t="str">
        <f>Vorrunde!G37</f>
        <v>SSV 1983 Weng/Elfenbeinküste</v>
      </c>
      <c r="E34" s="42"/>
      <c r="L34" s="42"/>
      <c r="S34" s="42"/>
      <c r="V34" s="4" t="s">
        <v>83</v>
      </c>
      <c r="W34" s="1" t="b">
        <f>SUM(W30:W33)=12</f>
        <v>1</v>
      </c>
      <c r="AB34" s="42"/>
      <c r="AD34" s="86" t="str">
        <f>BF34</f>
        <v>Eindeutige Platzierung</v>
      </c>
      <c r="AE34" s="42"/>
      <c r="AG34" s="91" t="s">
        <v>84</v>
      </c>
      <c r="AH34" s="92">
        <f>MOD(MIN(AH30:AH33)*MAX(AH30:AH33),11)</f>
        <v>1</v>
      </c>
      <c r="AJ34" s="42"/>
      <c r="AK34" s="3"/>
      <c r="AL34" s="3"/>
      <c r="AN34" s="1"/>
      <c r="AO34" s="42"/>
      <c r="AP34" s="3"/>
      <c r="AQ34" s="3"/>
      <c r="AR34" s="1"/>
      <c r="AS34" s="1"/>
      <c r="AV34" s="42"/>
      <c r="AW34" s="3"/>
      <c r="AX34" s="1"/>
      <c r="AY34" s="1"/>
      <c r="BD34" s="93">
        <f>COUNTIF(BD30:BD33,"x")</f>
        <v>4</v>
      </c>
      <c r="BE34" s="92">
        <f>SUM(BE30:BE33)</f>
        <v>10</v>
      </c>
      <c r="BF34" s="92" t="str">
        <f>IF(W34,IF(BD34&gt;=3,Text!B$71,IF(AND(BD34=2,BE34=3),Text!B$72,Text!B$73)),"")</f>
        <v>Eindeutige Platzierung</v>
      </c>
      <c r="BZ34" s="1"/>
      <c r="CA34" s="1"/>
      <c r="CK34" s="1"/>
      <c r="CL34" s="1"/>
      <c r="CO34" s="1"/>
      <c r="CP34" s="1"/>
      <c r="CQ34" s="1"/>
      <c r="CR34" s="1"/>
      <c r="CS34" s="1"/>
      <c r="CW34" s="1"/>
      <c r="CX34" s="1"/>
      <c r="CY34" s="1"/>
      <c r="CZ34" s="1"/>
      <c r="DA34" s="1"/>
      <c r="DB34" s="1"/>
      <c r="DC34" s="1"/>
    </row>
    <row r="35" spans="1:107">
      <c r="A35" s="7"/>
      <c r="E35" s="42"/>
      <c r="L35" s="42"/>
      <c r="S35" s="42"/>
      <c r="AB35" s="42"/>
      <c r="AE35" s="42"/>
      <c r="AG35" s="43"/>
      <c r="AH35" s="43"/>
      <c r="AJ35" s="42"/>
      <c r="AK35" s="3"/>
      <c r="AL35" s="43"/>
      <c r="AM35" s="43"/>
      <c r="AN35" s="43"/>
      <c r="AO35" s="42"/>
      <c r="AP35" s="3"/>
      <c r="AQ35" s="43"/>
      <c r="AR35" s="166"/>
      <c r="AS35" s="166"/>
      <c r="AT35" s="166"/>
      <c r="AU35" s="43"/>
      <c r="AV35" s="42"/>
      <c r="AW35" s="3"/>
      <c r="AX35" s="1"/>
      <c r="AY35" s="165"/>
      <c r="AZ35" s="165"/>
      <c r="BA35" s="165"/>
      <c r="BB35" s="7"/>
      <c r="BC35" s="166"/>
      <c r="BD35" s="166"/>
      <c r="BE35" s="166"/>
      <c r="BZ35" s="1"/>
      <c r="CA35" s="1"/>
      <c r="CK35" s="1"/>
      <c r="CL35" s="1"/>
      <c r="CO35" s="1"/>
      <c r="CP35" s="1"/>
      <c r="CQ35" s="1"/>
      <c r="CR35" s="1"/>
      <c r="CS35" s="1"/>
      <c r="CW35" s="1"/>
      <c r="CX35" s="1"/>
      <c r="CY35" s="1"/>
      <c r="CZ35" s="1"/>
      <c r="DA35" s="1"/>
      <c r="DB35" s="1"/>
      <c r="DC35" s="1"/>
    </row>
    <row r="36" spans="1:107">
      <c r="A36" s="7" t="str">
        <f>Text!B34</f>
        <v>GRUPPE E</v>
      </c>
      <c r="E36" s="42"/>
      <c r="L36" s="42"/>
      <c r="S36" s="42"/>
      <c r="AB36" s="42"/>
      <c r="AE36" s="42"/>
      <c r="AG36" s="43"/>
      <c r="AH36" s="43"/>
      <c r="AJ36" s="42"/>
      <c r="AK36" s="3"/>
      <c r="AL36" s="43"/>
      <c r="AM36" s="43"/>
      <c r="AN36" s="43"/>
      <c r="AO36" s="42"/>
      <c r="AP36" s="3"/>
      <c r="AQ36" s="43"/>
      <c r="AR36" s="166"/>
      <c r="AS36" s="166"/>
      <c r="AT36" s="166"/>
      <c r="AU36" s="43"/>
      <c r="AV36" s="42"/>
      <c r="AW36" s="3"/>
      <c r="AX36" s="1"/>
      <c r="AY36" s="165"/>
      <c r="AZ36" s="165"/>
      <c r="BA36" s="165"/>
      <c r="BB36" s="7"/>
      <c r="BC36" s="166"/>
      <c r="BD36" s="166"/>
      <c r="BE36" s="166"/>
      <c r="BZ36" s="1"/>
      <c r="CA36" s="1"/>
      <c r="CK36" s="1"/>
      <c r="CL36" s="1"/>
      <c r="CO36" s="1"/>
      <c r="CP36" s="1"/>
      <c r="CQ36" s="1"/>
      <c r="CR36" s="1"/>
      <c r="CS36" s="1"/>
      <c r="CW36" s="1"/>
      <c r="CX36" s="1"/>
      <c r="CY36" s="1"/>
      <c r="CZ36" s="1"/>
      <c r="DA36" s="1"/>
      <c r="DB36" s="1"/>
      <c r="DC36" s="1"/>
    </row>
    <row r="37" spans="1:107" ht="40.200000000000003">
      <c r="A37" s="49" t="str">
        <f>Vorrunde!E40</f>
        <v>SV Wörth/Frankreich</v>
      </c>
      <c r="B37" s="50">
        <f>IF(ISNUMBER(Vorrunde!H40),Vorrunde!H40,"")</f>
        <v>6</v>
      </c>
      <c r="C37" s="50">
        <f>IF(ISNUMBER(Vorrunde!J40),Vorrunde!J40,"")</f>
        <v>1</v>
      </c>
      <c r="D37" s="51" t="str">
        <f>Vorrunde!G40</f>
        <v>SV Kumhausen/Marokko</v>
      </c>
      <c r="E37" s="52"/>
      <c r="F37" s="53"/>
      <c r="G37" s="54">
        <f>SUM(H38:K41)</f>
        <v>38</v>
      </c>
      <c r="H37" s="55" t="str">
        <f>Text!A35</f>
        <v>Frankreich</v>
      </c>
      <c r="I37" s="56" t="str">
        <f>Text!A36</f>
        <v>Marokko</v>
      </c>
      <c r="J37" s="56" t="str">
        <f>Text!A37</f>
        <v>Kanada</v>
      </c>
      <c r="K37" s="57" t="str">
        <f>Text!A38</f>
        <v>Belgien</v>
      </c>
      <c r="L37" s="52"/>
      <c r="M37" s="53"/>
      <c r="N37" s="54">
        <f>SUM(O38:R41)</f>
        <v>18</v>
      </c>
      <c r="O37" s="55" t="str">
        <f>Text!A35</f>
        <v>Frankreich</v>
      </c>
      <c r="P37" s="56" t="str">
        <f>Text!A36</f>
        <v>Marokko</v>
      </c>
      <c r="Q37" s="56" t="str">
        <f>Text!A37</f>
        <v>Kanada</v>
      </c>
      <c r="R37" s="57" t="str">
        <f>Text!A38</f>
        <v>Belgien</v>
      </c>
      <c r="S37" s="52"/>
      <c r="T37" s="53"/>
      <c r="W37" s="58" t="str">
        <f>Text!A$64</f>
        <v>Sp.</v>
      </c>
      <c r="X37" s="59" t="str">
        <f>Text!A$65</f>
        <v>Pkte.</v>
      </c>
      <c r="Y37" s="59" t="str">
        <f>Text!A$66</f>
        <v>T</v>
      </c>
      <c r="Z37" s="59" t="str">
        <f>Text!A$67</f>
        <v>GT</v>
      </c>
      <c r="AA37" s="60" t="str">
        <f>Text!A$68</f>
        <v>Diff.</v>
      </c>
      <c r="AB37" s="52"/>
      <c r="AC37" s="53"/>
      <c r="AE37" s="52"/>
      <c r="AF37" s="53"/>
      <c r="AG37" s="1"/>
      <c r="AJ37" s="52"/>
      <c r="AK37" s="53"/>
      <c r="AL37" s="53"/>
      <c r="AN37" s="1"/>
      <c r="AO37" s="52"/>
      <c r="AP37" s="53"/>
      <c r="AQ37" s="61">
        <f>MATCH(1,AH38:AH41,0)</f>
        <v>1</v>
      </c>
      <c r="AR37" s="1"/>
      <c r="AS37" s="1"/>
      <c r="AV37" s="52"/>
      <c r="AW37" s="53"/>
      <c r="AX37" s="43"/>
      <c r="AY37" s="1"/>
      <c r="BZ37" s="1"/>
      <c r="CA37" s="1"/>
      <c r="CK37" s="1"/>
      <c r="CL37" s="1"/>
      <c r="CO37" s="1"/>
      <c r="CP37" s="1"/>
      <c r="CQ37" s="1"/>
      <c r="CR37" s="1"/>
      <c r="CS37" s="1"/>
      <c r="CW37" s="1"/>
      <c r="CX37" s="1"/>
      <c r="CY37" s="1"/>
      <c r="CZ37" s="1"/>
      <c r="DA37" s="1"/>
      <c r="DB37" s="1"/>
      <c r="DC37" s="1"/>
    </row>
    <row r="38" spans="1:107">
      <c r="A38" s="62" t="str">
        <f>Vorrunde!E41</f>
        <v>SpVgg Landshut/Kanada</v>
      </c>
      <c r="B38" s="3">
        <f>IF(ISNUMBER(Vorrunde!H41),Vorrunde!H41,"")</f>
        <v>10</v>
      </c>
      <c r="C38" s="3">
        <f>IF(ISNUMBER(Vorrunde!J41),Vorrunde!J41,"")</f>
        <v>0</v>
      </c>
      <c r="D38" s="63" t="str">
        <f>Vorrunde!G41</f>
        <v>ETSV 09 Landshut/Belgien</v>
      </c>
      <c r="E38" s="42"/>
      <c r="G38" s="64" t="str">
        <f>Text!A35</f>
        <v>Frankreich</v>
      </c>
      <c r="H38" s="65"/>
      <c r="I38" s="66">
        <f>B37</f>
        <v>6</v>
      </c>
      <c r="J38" s="66">
        <f>B39</f>
        <v>1</v>
      </c>
      <c r="K38" s="67">
        <f>C41</f>
        <v>8</v>
      </c>
      <c r="L38" s="42"/>
      <c r="N38" s="64" t="str">
        <f>Text!A35</f>
        <v>Frankreich</v>
      </c>
      <c r="O38" s="65"/>
      <c r="P38" s="66">
        <f>IF(AND(ISNUMBER(I38),ISNUMBER(H39)),IF(I38&gt;H39,3,IF(I38=H39,1,0)),0)</f>
        <v>3</v>
      </c>
      <c r="Q38" s="66">
        <f>IF(AND(ISNUMBER(J38),ISNUMBER(H40)),IF(J38&gt;H40,3,IF(J38=H40,1,0)),0)</f>
        <v>0</v>
      </c>
      <c r="R38" s="67">
        <f>IF(AND(ISNUMBER(K38),ISNUMBER(H41)),IF(K38&gt;H41,3,IF(K38=H41,1,0)),0)</f>
        <v>3</v>
      </c>
      <c r="S38" s="42"/>
      <c r="U38" s="1">
        <v>1</v>
      </c>
      <c r="V38" s="68" t="str">
        <f>Text!B35</f>
        <v>SV Wörth/Frankreich</v>
      </c>
      <c r="W38" s="69">
        <f>IF(COUNT(H38:K38)=COUNT(H38:H41),COUNT(H38:H41),"")</f>
        <v>3</v>
      </c>
      <c r="X38" s="66">
        <f>SUM(O38:R38)</f>
        <v>6</v>
      </c>
      <c r="Y38" s="66">
        <f>SUM(H38:K38)</f>
        <v>15</v>
      </c>
      <c r="Z38" s="66">
        <f>SUM(H38:H41)</f>
        <v>4</v>
      </c>
      <c r="AA38" s="67">
        <f>Y38-Z38</f>
        <v>11</v>
      </c>
      <c r="AB38" s="42"/>
      <c r="AD38" s="70">
        <f>BB38</f>
        <v>2</v>
      </c>
      <c r="AE38" s="42"/>
      <c r="AG38" s="68">
        <f>X38*10000+AA38*100+Y38</f>
        <v>61115</v>
      </c>
      <c r="AH38" s="68">
        <f>COUNTIF(AG38:AG41,AG38)</f>
        <v>1</v>
      </c>
      <c r="AI38" s="68" t="str">
        <f>IF(AH38=1,"x","")</f>
        <v>x</v>
      </c>
      <c r="AJ38" s="42"/>
      <c r="AK38" s="3"/>
      <c r="AL38" s="68">
        <f>IF(AI38="x",1,IF(AG39=AG38,2,IF(AG40=AG38,3,4)))</f>
        <v>1</v>
      </c>
      <c r="AM38" s="68">
        <f>INDEX(O38:R38,1,AL38)</f>
        <v>0</v>
      </c>
      <c r="AN38" s="71">
        <f>IF(OR(AH42=2,AH42=4),AM38/10,0)</f>
        <v>0</v>
      </c>
      <c r="AO38" s="42"/>
      <c r="AP38" s="3"/>
      <c r="AQ38" s="3"/>
      <c r="AR38" s="69">
        <f>X38-INDEX(O38:R38,1,AQ37)</f>
        <v>6</v>
      </c>
      <c r="AS38" s="68">
        <f>AA38-(INDEX(H38:K38,1,AQ37)-INDEX(H38:H41,AQ37,1))</f>
        <v>11</v>
      </c>
      <c r="AT38" s="69">
        <f>Y38-INDEX(H38:K38,1,AQ37)</f>
        <v>15</v>
      </c>
      <c r="AU38" s="71">
        <f>IF(OR(AH42&lt;&gt;3,AI38="x"),0,AR38/10+AS38/1000+AT38/100000)</f>
        <v>0</v>
      </c>
      <c r="AV38" s="42"/>
      <c r="AW38" s="3"/>
      <c r="AX38" s="71">
        <f>AG38+AN38+AU38</f>
        <v>61115</v>
      </c>
      <c r="AY38" s="69">
        <f>IF(INDEX(AX38:AX41,U38)&gt;=INDEX(AX38:AX41,U39),U38,U39)</f>
        <v>1</v>
      </c>
      <c r="AZ38" s="66">
        <f>IF(INDEX(AX38:AX41,AY38)&gt;=INDEX(AX38:AX41,AY40),AY38,AY40)</f>
        <v>3</v>
      </c>
      <c r="BA38" s="67">
        <f>IF(INDEX(AX38:AX41,AZ38)&gt;=INDEX(AX38:AX41,AZ41),AZ38,AZ41)</f>
        <v>3</v>
      </c>
      <c r="BB38" s="70">
        <f>MATCH(U38,BA38:BA41,0)</f>
        <v>2</v>
      </c>
      <c r="BC38" s="69">
        <f>COUNTIF(AX38:AX41,AX38)</f>
        <v>1</v>
      </c>
      <c r="BD38" s="67" t="str">
        <f>IF(BC38=1,"x","")</f>
        <v>x</v>
      </c>
      <c r="BE38" s="68">
        <f>(BD38="x")*BB38</f>
        <v>2</v>
      </c>
      <c r="BZ38" s="1"/>
      <c r="CA38" s="1"/>
      <c r="CK38" s="1"/>
      <c r="CL38" s="1"/>
      <c r="CO38" s="1"/>
      <c r="CP38" s="1"/>
      <c r="CQ38" s="1"/>
      <c r="CR38" s="1"/>
      <c r="CS38" s="1"/>
      <c r="CW38" s="1"/>
      <c r="CX38" s="1"/>
      <c r="CY38" s="1"/>
      <c r="CZ38" s="1"/>
      <c r="DA38" s="1"/>
      <c r="DB38" s="1"/>
      <c r="DC38" s="1"/>
    </row>
    <row r="39" spans="1:107">
      <c r="A39" s="62" t="str">
        <f>Vorrunde!E42</f>
        <v>SV Wörth/Frankreich</v>
      </c>
      <c r="B39" s="3">
        <f>IF(ISNUMBER(Vorrunde!H42),Vorrunde!H42,"")</f>
        <v>1</v>
      </c>
      <c r="C39" s="3">
        <f>IF(ISNUMBER(Vorrunde!J42),Vorrunde!J42,"")</f>
        <v>2</v>
      </c>
      <c r="D39" s="63" t="str">
        <f>Vorrunde!G42</f>
        <v>SpVgg Landshut/Kanada</v>
      </c>
      <c r="E39" s="42"/>
      <c r="G39" s="72" t="str">
        <f>Text!A36</f>
        <v>Marokko</v>
      </c>
      <c r="H39" s="73">
        <f>C37</f>
        <v>1</v>
      </c>
      <c r="I39" s="74"/>
      <c r="J39" s="1">
        <f>B42</f>
        <v>1</v>
      </c>
      <c r="K39" s="75">
        <f>C40</f>
        <v>4</v>
      </c>
      <c r="L39" s="42"/>
      <c r="N39" s="72" t="str">
        <f>Text!A36</f>
        <v>Marokko</v>
      </c>
      <c r="O39" s="73">
        <f>IF(AND(ISNUMBER(H39),ISNUMBER(I38)),IF(H39&gt;I38,3,IF(H39=I38,1,0)),0)</f>
        <v>0</v>
      </c>
      <c r="P39" s="74"/>
      <c r="Q39" s="1">
        <f>IF(AND(ISNUMBER(J39),ISNUMBER(I40)),IF(J39&gt;I40,3,IF(J39=I40,1,0)),0)</f>
        <v>0</v>
      </c>
      <c r="R39" s="75">
        <f>IF(AND(ISNUMBER(K39),ISNUMBER(I41)),IF(K39&gt;I41,3,IF(K39=I41,1,0)),0)</f>
        <v>3</v>
      </c>
      <c r="S39" s="42"/>
      <c r="U39" s="1">
        <v>2</v>
      </c>
      <c r="V39" s="76" t="str">
        <f>Text!B36</f>
        <v>SV Kumhausen/Marokko</v>
      </c>
      <c r="W39" s="73">
        <f>IF(COUNT(H39:K39)=COUNT(I38:I41),COUNT(I38:I41),"")</f>
        <v>3</v>
      </c>
      <c r="X39" s="1">
        <f>SUM(O39:R39)</f>
        <v>3</v>
      </c>
      <c r="Y39" s="1">
        <f>SUM(H39:K39)</f>
        <v>6</v>
      </c>
      <c r="Z39" s="1">
        <f>SUM(I38:I41)</f>
        <v>10</v>
      </c>
      <c r="AA39" s="75">
        <f>Y39-Z39</f>
        <v>-4</v>
      </c>
      <c r="AB39" s="42"/>
      <c r="AD39" s="77">
        <f>BB39</f>
        <v>3</v>
      </c>
      <c r="AE39" s="42"/>
      <c r="AG39" s="76">
        <f>X39*10000+AA39*100+Y39</f>
        <v>29606</v>
      </c>
      <c r="AH39" s="76">
        <f>COUNTIF(AG38:AG41,AG39)</f>
        <v>1</v>
      </c>
      <c r="AI39" s="76" t="str">
        <f>IF(AH39=1,"x","")</f>
        <v>x</v>
      </c>
      <c r="AJ39" s="42"/>
      <c r="AK39" s="3"/>
      <c r="AL39" s="76">
        <f>IF(AI39="x",2,IF(AG40=AG39,3,IF(AG41=AG39,4,1)))</f>
        <v>2</v>
      </c>
      <c r="AM39" s="76">
        <f>INDEX(O39:R39,1,AL39)</f>
        <v>0</v>
      </c>
      <c r="AN39" s="78">
        <f>IF(OR(AH42=2,AH42=4),AM39/10,0)</f>
        <v>0</v>
      </c>
      <c r="AO39" s="42"/>
      <c r="AP39" s="3"/>
      <c r="AQ39" s="3"/>
      <c r="AR39" s="73">
        <f>X39-INDEX(O39:R39,1,AQ37)</f>
        <v>3</v>
      </c>
      <c r="AS39" s="76">
        <f>AA39-(INDEX(H39:K39,1,AQ37)-INDEX(I38:I41,AQ37))</f>
        <v>1</v>
      </c>
      <c r="AT39" s="73">
        <f>Y39-INDEX(H39:K39,1,AQ37)</f>
        <v>5</v>
      </c>
      <c r="AU39" s="78">
        <f>IF(OR(AH42&lt;&gt;3,AI39="x"),0,AR39/10+AS39/1000+AT39/100000)</f>
        <v>0</v>
      </c>
      <c r="AV39" s="42"/>
      <c r="AW39" s="3"/>
      <c r="AX39" s="78">
        <f>AG39+AN39+AU39</f>
        <v>29606</v>
      </c>
      <c r="AY39" s="73">
        <f>IF(INDEX(AX38:AX41,U39)&lt;=INDEX(AX38:AX41,U38),U39,U38)</f>
        <v>2</v>
      </c>
      <c r="AZ39" s="1">
        <f>IF(INDEX(AX38:AX41,AY39)&gt;=INDEX(AX38:AX41,AY41),AY39,AY41)</f>
        <v>2</v>
      </c>
      <c r="BA39" s="75">
        <f>IF(INDEX(AX38:AX41,AZ39)&gt;=INDEX(AX38:AX41,AZ40),AZ39,AZ40)</f>
        <v>1</v>
      </c>
      <c r="BB39" s="77">
        <f>MATCH(U39,BA38:BA41,0)</f>
        <v>3</v>
      </c>
      <c r="BC39" s="73">
        <f>COUNTIF(AX38:AX41,AX39)</f>
        <v>1</v>
      </c>
      <c r="BD39" s="75" t="str">
        <f>IF(BC39=1,"x","")</f>
        <v>x</v>
      </c>
      <c r="BE39" s="76">
        <f>(BD39="x")*BB39</f>
        <v>3</v>
      </c>
      <c r="BZ39" s="1"/>
      <c r="CA39" s="1"/>
      <c r="CK39" s="1"/>
      <c r="CL39" s="1"/>
      <c r="CO39" s="1"/>
      <c r="CP39" s="1"/>
      <c r="CQ39" s="1"/>
      <c r="CR39" s="1"/>
      <c r="CS39" s="1"/>
      <c r="CW39" s="1"/>
      <c r="CX39" s="1"/>
      <c r="CY39" s="1"/>
      <c r="CZ39" s="1"/>
      <c r="DA39" s="1"/>
      <c r="DB39" s="1"/>
      <c r="DC39" s="1"/>
    </row>
    <row r="40" spans="1:107">
      <c r="A40" s="62" t="str">
        <f>Vorrunde!E43</f>
        <v>ETSV 09 Landshut/Belgien</v>
      </c>
      <c r="B40" s="3">
        <f>IF(ISNUMBER(Vorrunde!H43),Vorrunde!H43,"")</f>
        <v>1</v>
      </c>
      <c r="C40" s="3">
        <f>IF(ISNUMBER(Vorrunde!J43),Vorrunde!J43,"")</f>
        <v>4</v>
      </c>
      <c r="D40" s="63" t="str">
        <f>Vorrunde!G43</f>
        <v>SV Kumhausen/Marokko</v>
      </c>
      <c r="E40" s="42"/>
      <c r="G40" s="72" t="str">
        <f>Text!A37</f>
        <v>Kanada</v>
      </c>
      <c r="H40" s="73">
        <f>C39</f>
        <v>2</v>
      </c>
      <c r="I40" s="1">
        <f>C42</f>
        <v>3</v>
      </c>
      <c r="J40" s="74"/>
      <c r="K40" s="75">
        <f>B38</f>
        <v>10</v>
      </c>
      <c r="L40" s="42"/>
      <c r="N40" s="72" t="str">
        <f>Text!A37</f>
        <v>Kanada</v>
      </c>
      <c r="O40" s="73">
        <f>IF(AND(ISNUMBER(H40),ISNUMBER(J38)),IF(H40&gt;J38,3,IF(H40=J38,1,0)),0)</f>
        <v>3</v>
      </c>
      <c r="P40" s="1">
        <f>IF(AND(ISNUMBER(I40),ISNUMBER(J39)),IF(I40&gt;J39,3,IF(I40=J39,1,0)),0)</f>
        <v>3</v>
      </c>
      <c r="Q40" s="74"/>
      <c r="R40" s="75">
        <f>IF(AND(ISNUMBER(K40),ISNUMBER(J41)),IF(K40&gt;J41,3,IF(K40=J41,1,0)),0)</f>
        <v>3</v>
      </c>
      <c r="S40" s="42"/>
      <c r="U40" s="1">
        <v>3</v>
      </c>
      <c r="V40" s="76" t="str">
        <f>Text!B37</f>
        <v>SpVgg Landshut/Kanada</v>
      </c>
      <c r="W40" s="73">
        <f>IF(COUNT(H40:K40)=COUNT(J38:J41),COUNT(J38:J41),"")</f>
        <v>3</v>
      </c>
      <c r="X40" s="1">
        <f>SUM(O40:R40)</f>
        <v>9</v>
      </c>
      <c r="Y40" s="1">
        <f>SUM(H40:K40)</f>
        <v>15</v>
      </c>
      <c r="Z40" s="1">
        <f>SUM(J38:J41)</f>
        <v>2</v>
      </c>
      <c r="AA40" s="75">
        <f>Y40-Z40</f>
        <v>13</v>
      </c>
      <c r="AB40" s="42"/>
      <c r="AD40" s="77">
        <f>BB40</f>
        <v>1</v>
      </c>
      <c r="AE40" s="42"/>
      <c r="AG40" s="76">
        <f>X40*10000+AA40*100+Y40</f>
        <v>91315</v>
      </c>
      <c r="AH40" s="76">
        <f>COUNTIF(AG38:AG41,AG40)</f>
        <v>1</v>
      </c>
      <c r="AI40" s="76" t="str">
        <f>IF(AH40=1,"x","")</f>
        <v>x</v>
      </c>
      <c r="AJ40" s="42"/>
      <c r="AK40" s="3"/>
      <c r="AL40" s="76">
        <f>IF(AI40="x",3,IF(AG41=AG40,4,IF(AG39=AG40,2,1)))</f>
        <v>3</v>
      </c>
      <c r="AM40" s="76">
        <f>INDEX(O40:R40,1,AL40)</f>
        <v>0</v>
      </c>
      <c r="AN40" s="78">
        <f>IF(OR(AH42=2,AH42=4),AM40/10,0)</f>
        <v>0</v>
      </c>
      <c r="AO40" s="42"/>
      <c r="AP40" s="3"/>
      <c r="AQ40" s="3"/>
      <c r="AR40" s="73">
        <f>X40-INDEX(O40:R40,1,AQ37)</f>
        <v>6</v>
      </c>
      <c r="AS40" s="76">
        <f>AA40-(INDEX(H40:K40,1,AQ37)-INDEX(J38:J41,AQ37))</f>
        <v>12</v>
      </c>
      <c r="AT40" s="73">
        <f>Y40-INDEX(H40:K40,1,AQ37)</f>
        <v>13</v>
      </c>
      <c r="AU40" s="78">
        <f>IF(OR(AH42&lt;&gt;3,AI40="x"),0,AR40/10+AS40/1000+AT40/100000)</f>
        <v>0</v>
      </c>
      <c r="AV40" s="42"/>
      <c r="AW40" s="3"/>
      <c r="AX40" s="78">
        <f>AG40+AN40+AU40</f>
        <v>91315</v>
      </c>
      <c r="AY40" s="73">
        <f>IF(INDEX(AX38:AX41,U40)&gt;=INDEX(AX38:AX41,U41),U40,U41)</f>
        <v>3</v>
      </c>
      <c r="AZ40" s="1">
        <f>IF(INDEX(AX38:AX41,AY40)&lt;=INDEX(AX38:AX41,AY38),AY40,AY38)</f>
        <v>1</v>
      </c>
      <c r="BA40" s="75">
        <f>IF(INDEX(AX38:AX41,AZ40)&lt;=INDEX(AX38:AX41,AZ39),AZ40,AZ39)</f>
        <v>2</v>
      </c>
      <c r="BB40" s="77">
        <f>MATCH(U40,BA38:BA41,0)</f>
        <v>1</v>
      </c>
      <c r="BC40" s="73">
        <f>COUNTIF(AX38:AX41,AX40)</f>
        <v>1</v>
      </c>
      <c r="BD40" s="75" t="str">
        <f>IF(BC40=1,"x","")</f>
        <v>x</v>
      </c>
      <c r="BE40" s="76">
        <f>(BD40="x")*BB40</f>
        <v>1</v>
      </c>
      <c r="BZ40" s="1"/>
      <c r="CA40" s="1"/>
      <c r="CK40" s="1"/>
      <c r="CL40" s="1"/>
      <c r="CO40" s="1"/>
      <c r="CP40" s="1"/>
      <c r="CQ40" s="1"/>
      <c r="CR40" s="1"/>
      <c r="CS40" s="1"/>
      <c r="CW40" s="1"/>
      <c r="CX40" s="1"/>
      <c r="CY40" s="1"/>
      <c r="CZ40" s="1"/>
      <c r="DA40" s="1"/>
      <c r="DB40" s="1"/>
      <c r="DC40" s="1"/>
    </row>
    <row r="41" spans="1:107">
      <c r="A41" s="62" t="str">
        <f>Vorrunde!E44</f>
        <v>ETSV 09 Landshut/Belgien</v>
      </c>
      <c r="B41" s="3">
        <f>IF(ISNUMBER(Vorrunde!H44),Vorrunde!H44,"")</f>
        <v>1</v>
      </c>
      <c r="C41" s="3">
        <f>IF(ISNUMBER(Vorrunde!J44),Vorrunde!J44,"")</f>
        <v>8</v>
      </c>
      <c r="D41" s="63" t="str">
        <f>Vorrunde!G44</f>
        <v>SV Wörth/Frankreich</v>
      </c>
      <c r="E41" s="79"/>
      <c r="F41" s="1"/>
      <c r="G41" s="80" t="str">
        <f>Text!A38</f>
        <v>Belgien</v>
      </c>
      <c r="H41" s="81">
        <f>B41</f>
        <v>1</v>
      </c>
      <c r="I41" s="82">
        <f>B40</f>
        <v>1</v>
      </c>
      <c r="J41" s="82">
        <f>C38</f>
        <v>0</v>
      </c>
      <c r="K41" s="83"/>
      <c r="L41" s="79"/>
      <c r="M41" s="1"/>
      <c r="N41" s="80" t="str">
        <f>Text!A38</f>
        <v>Belgien</v>
      </c>
      <c r="O41" s="81">
        <f>IF(AND(ISNUMBER(H41),ISNUMBER(K38)),IF(H41&gt;K38,3,IF(H41=K38,1,0)),0)</f>
        <v>0</v>
      </c>
      <c r="P41" s="82">
        <f>IF(AND(ISNUMBER(I41),ISNUMBER(K39)),IF(I41&gt;K39,3,IF(I41=K39,1,0)),0)</f>
        <v>0</v>
      </c>
      <c r="Q41" s="82">
        <f>IF(AND(ISNUMBER(J41),ISNUMBER(K40)),IF(J41&gt;K40,3,IF(J41=K40,1,0)),0)</f>
        <v>0</v>
      </c>
      <c r="R41" s="83"/>
      <c r="S41" s="79"/>
      <c r="T41" s="1"/>
      <c r="U41" s="1">
        <v>4</v>
      </c>
      <c r="V41" s="84" t="str">
        <f>Text!B38</f>
        <v>ETSV 09 Landshut/Belgien</v>
      </c>
      <c r="W41" s="81">
        <f>IF(COUNT(H41:K41)=COUNT(K38:K41),COUNT(K38:K41),"")</f>
        <v>3</v>
      </c>
      <c r="X41" s="82">
        <f>SUM(O41:R41)</f>
        <v>0</v>
      </c>
      <c r="Y41" s="82">
        <f>SUM(H41:K41)</f>
        <v>2</v>
      </c>
      <c r="Z41" s="82">
        <f>SUM(K38:K41)</f>
        <v>22</v>
      </c>
      <c r="AA41" s="85">
        <f>Y41-Z41</f>
        <v>-20</v>
      </c>
      <c r="AB41" s="79"/>
      <c r="AC41" s="1"/>
      <c r="AD41" s="86">
        <f>BB41</f>
        <v>4</v>
      </c>
      <c r="AE41" s="79"/>
      <c r="AF41" s="1"/>
      <c r="AG41" s="84">
        <f>X41*10000+AA41*100+Y41</f>
        <v>-1998</v>
      </c>
      <c r="AH41" s="84">
        <f>COUNTIF(AG38:AG41,AG41)</f>
        <v>1</v>
      </c>
      <c r="AI41" s="84" t="str">
        <f>IF(AH41=1,"x","")</f>
        <v>x</v>
      </c>
      <c r="AJ41" s="79"/>
      <c r="AL41" s="84">
        <f>IF(AI41="x",4,IF(AG38=AG41,1,IF(AG39=AG41,2,3)))</f>
        <v>4</v>
      </c>
      <c r="AM41" s="84">
        <f>INDEX(O41:R41,1,AL41)</f>
        <v>0</v>
      </c>
      <c r="AN41" s="87">
        <f>IF(OR(AH42=2,AH42=4),AM41/10,0)</f>
        <v>0</v>
      </c>
      <c r="AO41" s="79"/>
      <c r="AR41" s="81">
        <f>X41-INDEX(O41:R41,1,AQ37)</f>
        <v>0</v>
      </c>
      <c r="AS41" s="84">
        <f>AA41-(INDEX(H41:K41,1,AQ37)-INDEX(K38:K41,AQ37))</f>
        <v>-13</v>
      </c>
      <c r="AT41" s="81">
        <f>Y41-INDEX(H41:K41,1,AQ37)</f>
        <v>1</v>
      </c>
      <c r="AU41" s="87">
        <f>IF(OR(AH42&lt;&gt;3,AI41="x"),0,AR41/10+AS41/1000+AT41/100000)</f>
        <v>0</v>
      </c>
      <c r="AV41" s="79"/>
      <c r="AX41" s="87">
        <f>AG41+AN41+AU41</f>
        <v>-1998</v>
      </c>
      <c r="AY41" s="81">
        <f>IF(INDEX(AX38:AX41,U41)&lt;=INDEX(AX38:AX41,U40),U41,U40)</f>
        <v>4</v>
      </c>
      <c r="AZ41" s="82">
        <f>IF(INDEX(AX38:AX41,AY41)&lt;=INDEX(AX38:AX41,AY39),AY41,AY39)</f>
        <v>4</v>
      </c>
      <c r="BA41" s="85">
        <f>IF(INDEX(AX38:AX41,AZ41)&lt;=INDEX(AX38:AX41,AZ38),AZ41,AZ38)</f>
        <v>4</v>
      </c>
      <c r="BB41" s="86">
        <f>MATCH(U41,BA38:BA41,0)</f>
        <v>4</v>
      </c>
      <c r="BC41" s="81">
        <f>COUNTIF(AX38:AX41,AX41)</f>
        <v>1</v>
      </c>
      <c r="BD41" s="85" t="str">
        <f>IF(BC41=1,"x","")</f>
        <v>x</v>
      </c>
      <c r="BE41" s="76">
        <f>(BD41="x")*BB41</f>
        <v>4</v>
      </c>
      <c r="BZ41" s="1"/>
      <c r="CA41" s="1"/>
      <c r="CK41" s="1"/>
      <c r="CL41" s="1"/>
      <c r="CO41" s="1"/>
      <c r="CP41" s="1"/>
      <c r="CQ41" s="1"/>
      <c r="CR41" s="1"/>
      <c r="CS41" s="1"/>
      <c r="CW41" s="1"/>
      <c r="CX41" s="1"/>
      <c r="CY41" s="1"/>
      <c r="CZ41" s="1"/>
      <c r="DA41" s="1"/>
      <c r="DB41" s="1"/>
      <c r="DC41" s="1"/>
    </row>
    <row r="42" spans="1:107">
      <c r="A42" s="88" t="str">
        <f>Vorrunde!E45</f>
        <v>SV Kumhausen/Marokko</v>
      </c>
      <c r="B42" s="89">
        <f>IF(ISNUMBER(Vorrunde!H45),Vorrunde!H45,"")</f>
        <v>1</v>
      </c>
      <c r="C42" s="89">
        <f>IF(ISNUMBER(Vorrunde!J45),Vorrunde!J45,"")</f>
        <v>3</v>
      </c>
      <c r="D42" s="90" t="str">
        <f>Vorrunde!G45</f>
        <v>SpVgg Landshut/Kanada</v>
      </c>
      <c r="E42" s="42"/>
      <c r="L42" s="42"/>
      <c r="S42" s="42"/>
      <c r="V42" s="4" t="s">
        <v>83</v>
      </c>
      <c r="W42" s="1" t="b">
        <f>SUM(W38:W41)=12</f>
        <v>1</v>
      </c>
      <c r="AB42" s="42"/>
      <c r="AD42" s="86" t="str">
        <f>BF42</f>
        <v>Eindeutige Platzierung</v>
      </c>
      <c r="AE42" s="42"/>
      <c r="AG42" s="91" t="s">
        <v>84</v>
      </c>
      <c r="AH42" s="92">
        <f>MOD(MIN(AH38:AH41)*MAX(AH38:AH41),11)</f>
        <v>1</v>
      </c>
      <c r="AJ42" s="42"/>
      <c r="AK42" s="3"/>
      <c r="AL42" s="3"/>
      <c r="AN42" s="1"/>
      <c r="AO42" s="42"/>
      <c r="AP42" s="3"/>
      <c r="AQ42" s="3"/>
      <c r="AR42" s="1"/>
      <c r="AS42" s="1"/>
      <c r="AV42" s="42"/>
      <c r="AW42" s="3"/>
      <c r="AX42" s="1"/>
      <c r="AY42" s="1"/>
      <c r="BD42" s="93">
        <f>COUNTIF(BD38:BD41,"x")</f>
        <v>4</v>
      </c>
      <c r="BE42" s="92">
        <f>SUM(BE38:BE41)</f>
        <v>10</v>
      </c>
      <c r="BF42" s="92" t="str">
        <f>IF(W42,IF(BD42&gt;=3,Text!B$71,IF(AND(BD42=2,BE42=3),Text!B$72,Text!B$73)),"")</f>
        <v>Eindeutige Platzierung</v>
      </c>
      <c r="BZ42" s="1"/>
      <c r="CA42" s="1"/>
      <c r="CK42" s="1"/>
      <c r="CL42" s="1"/>
      <c r="CO42" s="1"/>
      <c r="CP42" s="1"/>
      <c r="CQ42" s="1"/>
      <c r="CR42" s="1"/>
      <c r="CS42" s="1"/>
      <c r="CW42" s="1"/>
      <c r="CX42" s="1"/>
      <c r="CY42" s="1"/>
      <c r="CZ42" s="1"/>
      <c r="DA42" s="1"/>
      <c r="DB42" s="1"/>
      <c r="DC42" s="1"/>
    </row>
    <row r="43" spans="1:107">
      <c r="A43" s="7"/>
      <c r="E43" s="42"/>
      <c r="L43" s="42"/>
      <c r="S43" s="42"/>
      <c r="AB43" s="42"/>
      <c r="AE43" s="42"/>
      <c r="AG43" s="43"/>
      <c r="AH43" s="43"/>
      <c r="AJ43" s="42"/>
      <c r="AK43" s="3"/>
      <c r="AL43" s="43"/>
      <c r="AM43" s="43"/>
      <c r="AN43" s="43"/>
      <c r="AO43" s="42"/>
      <c r="AP43" s="3"/>
      <c r="AQ43" s="43"/>
      <c r="AR43" s="166"/>
      <c r="AS43" s="166"/>
      <c r="AT43" s="166"/>
      <c r="AU43" s="43"/>
      <c r="AV43" s="42"/>
      <c r="AW43" s="3"/>
      <c r="AX43" s="1"/>
      <c r="AY43" s="165"/>
      <c r="AZ43" s="165"/>
      <c r="BA43" s="165"/>
      <c r="BB43" s="7"/>
      <c r="BC43" s="166"/>
      <c r="BD43" s="166"/>
      <c r="BE43" s="166"/>
      <c r="BZ43" s="1"/>
      <c r="CA43" s="1"/>
      <c r="CK43" s="1"/>
      <c r="CL43" s="1"/>
      <c r="CO43" s="1"/>
      <c r="CP43" s="1"/>
      <c r="CQ43" s="1"/>
      <c r="CR43" s="1"/>
      <c r="CS43" s="1"/>
      <c r="CW43" s="1"/>
      <c r="CX43" s="1"/>
      <c r="CY43" s="1"/>
      <c r="CZ43" s="1"/>
      <c r="DA43" s="1"/>
      <c r="DB43" s="1"/>
      <c r="DC43" s="1"/>
    </row>
    <row r="44" spans="1:107">
      <c r="A44" s="7" t="str">
        <f>Text!B42</f>
        <v>GRUPPE F</v>
      </c>
      <c r="E44" s="42"/>
      <c r="L44" s="42"/>
      <c r="S44" s="42"/>
      <c r="AB44" s="42"/>
      <c r="AE44" s="42"/>
      <c r="AG44" s="43"/>
      <c r="AH44" s="43"/>
      <c r="AJ44" s="42"/>
      <c r="AK44" s="3"/>
      <c r="AL44" s="43"/>
      <c r="AM44" s="43"/>
      <c r="AN44" s="43"/>
      <c r="AO44" s="42"/>
      <c r="AP44" s="3"/>
      <c r="AQ44" s="43"/>
      <c r="AR44" s="166"/>
      <c r="AS44" s="166"/>
      <c r="AT44" s="166"/>
      <c r="AU44" s="43"/>
      <c r="AV44" s="42"/>
      <c r="AW44" s="3"/>
      <c r="AX44" s="1"/>
      <c r="AY44" s="165"/>
      <c r="AZ44" s="165"/>
      <c r="BA44" s="165"/>
      <c r="BB44" s="7"/>
      <c r="BC44" s="166"/>
      <c r="BD44" s="166"/>
      <c r="BE44" s="166"/>
      <c r="BZ44" s="1"/>
      <c r="CA44" s="1"/>
      <c r="CK44" s="1"/>
      <c r="CL44" s="1"/>
      <c r="CO44" s="1"/>
      <c r="CP44" s="1"/>
      <c r="CQ44" s="1"/>
      <c r="CR44" s="1"/>
      <c r="CS44" s="1"/>
      <c r="CW44" s="1"/>
      <c r="CX44" s="1"/>
      <c r="CY44" s="1"/>
      <c r="CZ44" s="1"/>
      <c r="DA44" s="1"/>
      <c r="DB44" s="1"/>
      <c r="DC44" s="1"/>
    </row>
    <row r="45" spans="1:107" ht="43.2">
      <c r="A45" s="49" t="str">
        <f>Vorrunde!E48</f>
        <v>TSV Baierbach/England</v>
      </c>
      <c r="B45" s="50">
        <f>IF(ISNUMBER(Vorrunde!H48),Vorrunde!H48,"")</f>
        <v>0</v>
      </c>
      <c r="C45" s="50">
        <f>IF(ISNUMBER(Vorrunde!J48),Vorrunde!J48,"")</f>
        <v>1</v>
      </c>
      <c r="D45" s="51" t="str">
        <f>Vorrunde!G48</f>
        <v>TSV Altfraunhofen/Curacao</v>
      </c>
      <c r="E45" s="52"/>
      <c r="F45" s="53"/>
      <c r="G45" s="54">
        <f>SUM(H46:K49)</f>
        <v>11</v>
      </c>
      <c r="H45" s="55" t="str">
        <f>Text!A43</f>
        <v>England</v>
      </c>
      <c r="I45" s="56" t="str">
        <f>Text!A44</f>
        <v>Curacao</v>
      </c>
      <c r="J45" s="56" t="str">
        <f>Text!A45</f>
        <v>Argentinien</v>
      </c>
      <c r="K45" s="57" t="str">
        <f>Text!A46</f>
        <v>Schweiz</v>
      </c>
      <c r="L45" s="52"/>
      <c r="M45" s="53"/>
      <c r="N45" s="54">
        <f>SUM(O46:R49)</f>
        <v>17</v>
      </c>
      <c r="O45" s="55" t="str">
        <f>Text!A43</f>
        <v>England</v>
      </c>
      <c r="P45" s="56" t="str">
        <f>Text!A44</f>
        <v>Curacao</v>
      </c>
      <c r="Q45" s="56" t="str">
        <f>Text!A45</f>
        <v>Argentinien</v>
      </c>
      <c r="R45" s="57" t="str">
        <f>Text!A46</f>
        <v>Schweiz</v>
      </c>
      <c r="S45" s="52"/>
      <c r="T45" s="53"/>
      <c r="W45" s="58" t="str">
        <f>Text!A$64</f>
        <v>Sp.</v>
      </c>
      <c r="X45" s="59" t="str">
        <f>Text!A$65</f>
        <v>Pkte.</v>
      </c>
      <c r="Y45" s="59" t="str">
        <f>Text!A$66</f>
        <v>T</v>
      </c>
      <c r="Z45" s="59" t="str">
        <f>Text!A$67</f>
        <v>GT</v>
      </c>
      <c r="AA45" s="60" t="str">
        <f>Text!A$68</f>
        <v>Diff.</v>
      </c>
      <c r="AB45" s="52"/>
      <c r="AC45" s="53"/>
      <c r="AE45" s="52"/>
      <c r="AF45" s="53"/>
      <c r="AG45" s="1"/>
      <c r="AJ45" s="52"/>
      <c r="AK45" s="53"/>
      <c r="AL45" s="53"/>
      <c r="AN45" s="1"/>
      <c r="AO45" s="52"/>
      <c r="AP45" s="53"/>
      <c r="AQ45" s="61">
        <f>MATCH(1,AH46:AH49,0)</f>
        <v>1</v>
      </c>
      <c r="AR45" s="1"/>
      <c r="AS45" s="1"/>
      <c r="AV45" s="52"/>
      <c r="AW45" s="53"/>
      <c r="AX45" s="43"/>
      <c r="AY45" s="1"/>
      <c r="BZ45" s="1"/>
      <c r="CA45" s="1"/>
      <c r="CK45" s="1"/>
      <c r="CL45" s="1"/>
      <c r="CO45" s="1"/>
      <c r="CP45" s="1"/>
      <c r="CQ45" s="1"/>
      <c r="CR45" s="1"/>
      <c r="CS45" s="1"/>
      <c r="CW45" s="1"/>
      <c r="CX45" s="1"/>
      <c r="CY45" s="1"/>
      <c r="CZ45" s="1"/>
      <c r="DA45" s="1"/>
      <c r="DB45" s="1"/>
      <c r="DC45" s="1"/>
    </row>
    <row r="46" spans="1:107">
      <c r="A46" s="62" t="str">
        <f>Vorrunde!E49</f>
        <v>TSV Landshut-Auloh/Argentinien</v>
      </c>
      <c r="B46" s="3">
        <f>IF(ISNUMBER(Vorrunde!H49),Vorrunde!H49,"")</f>
        <v>4</v>
      </c>
      <c r="C46" s="3">
        <f>IF(ISNUMBER(Vorrunde!J49),Vorrunde!J49,"")</f>
        <v>0</v>
      </c>
      <c r="D46" s="63" t="str">
        <f>Vorrunde!G49</f>
        <v>SV Sallach/Schweiz</v>
      </c>
      <c r="E46" s="42"/>
      <c r="G46" s="64" t="str">
        <f>Text!A43</f>
        <v>England</v>
      </c>
      <c r="H46" s="65"/>
      <c r="I46" s="66">
        <f>B45</f>
        <v>0</v>
      </c>
      <c r="J46" s="66">
        <f>B47</f>
        <v>0</v>
      </c>
      <c r="K46" s="67">
        <f>C49</f>
        <v>2</v>
      </c>
      <c r="L46" s="42"/>
      <c r="N46" s="64" t="str">
        <f>Text!A43</f>
        <v>England</v>
      </c>
      <c r="O46" s="65"/>
      <c r="P46" s="66">
        <f>IF(AND(ISNUMBER(I46),ISNUMBER(H47)),IF(I46&gt;H47,3,IF(I46=H47,1,0)),0)</f>
        <v>0</v>
      </c>
      <c r="Q46" s="66">
        <f>IF(AND(ISNUMBER(J46),ISNUMBER(H48)),IF(J46&gt;H48,3,IF(J46=H48,1,0)),0)</f>
        <v>0</v>
      </c>
      <c r="R46" s="67">
        <f>IF(AND(ISNUMBER(K46),ISNUMBER(H49)),IF(K46&gt;H49,3,IF(K46=H49,1,0)),0)</f>
        <v>3</v>
      </c>
      <c r="S46" s="42"/>
      <c r="U46" s="1">
        <v>1</v>
      </c>
      <c r="V46" s="68" t="str">
        <f>Text!B43</f>
        <v>TSV Baierbach/England</v>
      </c>
      <c r="W46" s="69">
        <f>IF(COUNT(H46:K46)=COUNT(H46:H49),COUNT(H46:H49),"")</f>
        <v>3</v>
      </c>
      <c r="X46" s="66">
        <f>SUM(O46:R46)</f>
        <v>3</v>
      </c>
      <c r="Y46" s="66">
        <f>SUM(H46:K46)</f>
        <v>2</v>
      </c>
      <c r="Z46" s="66">
        <f>SUM(H46:H49)</f>
        <v>2</v>
      </c>
      <c r="AA46" s="67">
        <f>Y46-Z46</f>
        <v>0</v>
      </c>
      <c r="AB46" s="42"/>
      <c r="AD46" s="70">
        <f>BB46</f>
        <v>3</v>
      </c>
      <c r="AE46" s="42"/>
      <c r="AG46" s="68">
        <f>X46*10000+AA46*100+Y46</f>
        <v>30002</v>
      </c>
      <c r="AH46" s="68">
        <f>COUNTIF(AG46:AG49,AG46)</f>
        <v>1</v>
      </c>
      <c r="AI46" s="68" t="str">
        <f>IF(AH46=1,"x","")</f>
        <v>x</v>
      </c>
      <c r="AJ46" s="42"/>
      <c r="AK46" s="3"/>
      <c r="AL46" s="68">
        <f>IF(AI46="x",1,IF(AG47=AG46,2,IF(AG48=AG46,3,4)))</f>
        <v>1</v>
      </c>
      <c r="AM46" s="68">
        <f>INDEX(O46:R46,1,AL46)</f>
        <v>0</v>
      </c>
      <c r="AN46" s="71">
        <f>IF(OR(AH50=2,AH50=4),AM46/10,0)</f>
        <v>0</v>
      </c>
      <c r="AO46" s="42"/>
      <c r="AP46" s="3"/>
      <c r="AQ46" s="3"/>
      <c r="AR46" s="69">
        <f>X46-INDEX(O46:R46,1,AQ45)</f>
        <v>3</v>
      </c>
      <c r="AS46" s="68">
        <f>AA46-(INDEX(H46:K46,1,AQ45)-INDEX(H46:H49,AQ45,1))</f>
        <v>0</v>
      </c>
      <c r="AT46" s="69">
        <f>Y46-INDEX(H46:K46,1,AQ45)</f>
        <v>2</v>
      </c>
      <c r="AU46" s="71">
        <f>IF(OR(AH50&lt;&gt;3,AI46="x"),0,AR46/10+AS46/1000+AT46/100000)</f>
        <v>0</v>
      </c>
      <c r="AV46" s="42"/>
      <c r="AW46" s="3"/>
      <c r="AX46" s="71">
        <f>AG46+AN46+AU46</f>
        <v>30002</v>
      </c>
      <c r="AY46" s="69">
        <f>IF(INDEX(AX46:AX49,U46)&gt;=INDEX(AX46:AX49,U47),U46,U47)</f>
        <v>2</v>
      </c>
      <c r="AZ46" s="66">
        <f>IF(INDEX(AX46:AX49,AY46)&gt;=INDEX(AX46:AX49,AY48),AY46,AY48)</f>
        <v>3</v>
      </c>
      <c r="BA46" s="67">
        <f>IF(INDEX(AX46:AX49,AZ46)&gt;=INDEX(AX46:AX49,AZ49),AZ46,AZ49)</f>
        <v>3</v>
      </c>
      <c r="BB46" s="70">
        <f>MATCH(U46,BA46:BA49,0)</f>
        <v>3</v>
      </c>
      <c r="BC46" s="69">
        <f>COUNTIF(AX46:AX49,AX46)</f>
        <v>1</v>
      </c>
      <c r="BD46" s="67" t="str">
        <f>IF(BC46=1,"x","")</f>
        <v>x</v>
      </c>
      <c r="BE46" s="68">
        <f>(BD46="x")*BB46</f>
        <v>3</v>
      </c>
      <c r="BZ46" s="1"/>
      <c r="CA46" s="1"/>
      <c r="CK46" s="1"/>
      <c r="CL46" s="1"/>
      <c r="CO46" s="1"/>
      <c r="CP46" s="1"/>
      <c r="CQ46" s="1"/>
      <c r="CR46" s="1"/>
      <c r="CS46" s="1"/>
      <c r="CW46" s="1"/>
      <c r="CX46" s="1"/>
      <c r="CY46" s="1"/>
      <c r="CZ46" s="1"/>
      <c r="DA46" s="1"/>
      <c r="DB46" s="1"/>
      <c r="DC46" s="1"/>
    </row>
    <row r="47" spans="1:107">
      <c r="A47" s="62" t="str">
        <f>Vorrunde!E50</f>
        <v>TSV Baierbach/England</v>
      </c>
      <c r="B47" s="3">
        <f>IF(ISNUMBER(Vorrunde!H50),Vorrunde!H50,"")</f>
        <v>0</v>
      </c>
      <c r="C47" s="3">
        <f>IF(ISNUMBER(Vorrunde!J50),Vorrunde!J50,"")</f>
        <v>1</v>
      </c>
      <c r="D47" s="63" t="str">
        <f>Vorrunde!G50</f>
        <v>TSV Landshut-Auloh/Argentinien</v>
      </c>
      <c r="E47" s="42"/>
      <c r="G47" s="72" t="str">
        <f>Text!A44</f>
        <v>Curacao</v>
      </c>
      <c r="H47" s="73">
        <f>C45</f>
        <v>1</v>
      </c>
      <c r="I47" s="74"/>
      <c r="J47" s="1">
        <f>B50</f>
        <v>0</v>
      </c>
      <c r="K47" s="75">
        <f>C48</f>
        <v>3</v>
      </c>
      <c r="L47" s="42"/>
      <c r="N47" s="72" t="str">
        <f>Text!A44</f>
        <v>Curacao</v>
      </c>
      <c r="O47" s="73">
        <f>IF(AND(ISNUMBER(H47),ISNUMBER(I46)),IF(H47&gt;I46,3,IF(H47=I46,1,0)),0)</f>
        <v>3</v>
      </c>
      <c r="P47" s="74"/>
      <c r="Q47" s="1">
        <f>IF(AND(ISNUMBER(J47),ISNUMBER(I48)),IF(J47&gt;I48,3,IF(J47=I48,1,0)),0)</f>
        <v>1</v>
      </c>
      <c r="R47" s="75">
        <f>IF(AND(ISNUMBER(K47),ISNUMBER(I49)),IF(K47&gt;I49,3,IF(K47=I49,1,0)),0)</f>
        <v>3</v>
      </c>
      <c r="S47" s="42"/>
      <c r="U47" s="1">
        <v>2</v>
      </c>
      <c r="V47" s="76" t="str">
        <f>Text!B44</f>
        <v>TSV Altfraunhofen/Curacao</v>
      </c>
      <c r="W47" s="73">
        <f>IF(COUNT(H47:K47)=COUNT(I46:I49),COUNT(I46:I49),"")</f>
        <v>3</v>
      </c>
      <c r="X47" s="1">
        <f>SUM(O47:R47)</f>
        <v>7</v>
      </c>
      <c r="Y47" s="1">
        <f>SUM(H47:K47)</f>
        <v>4</v>
      </c>
      <c r="Z47" s="1">
        <f>SUM(I46:I49)</f>
        <v>0</v>
      </c>
      <c r="AA47" s="75">
        <f>Y47-Z47</f>
        <v>4</v>
      </c>
      <c r="AB47" s="42"/>
      <c r="AD47" s="77">
        <f>BB47</f>
        <v>2</v>
      </c>
      <c r="AE47" s="42"/>
      <c r="AG47" s="76">
        <f>X47*10000+AA47*100+Y47</f>
        <v>70404</v>
      </c>
      <c r="AH47" s="76">
        <f>COUNTIF(AG46:AG49,AG47)</f>
        <v>1</v>
      </c>
      <c r="AI47" s="76" t="str">
        <f>IF(AH47=1,"x","")</f>
        <v>x</v>
      </c>
      <c r="AJ47" s="42"/>
      <c r="AK47" s="3"/>
      <c r="AL47" s="76">
        <f>IF(AI47="x",2,IF(AG48=AG47,3,IF(AG49=AG47,4,1)))</f>
        <v>2</v>
      </c>
      <c r="AM47" s="76">
        <f>INDEX(O47:R47,1,AL47)</f>
        <v>0</v>
      </c>
      <c r="AN47" s="78">
        <f>IF(OR(AH50=2,AH50=4),AM47/10,0)</f>
        <v>0</v>
      </c>
      <c r="AO47" s="42"/>
      <c r="AP47" s="3"/>
      <c r="AQ47" s="3"/>
      <c r="AR47" s="73">
        <f>X47-INDEX(O47:R47,1,AQ45)</f>
        <v>4</v>
      </c>
      <c r="AS47" s="76">
        <f>AA47-(INDEX(H47:K47,1,AQ45)-INDEX(I46:I49,AQ45))</f>
        <v>3</v>
      </c>
      <c r="AT47" s="73">
        <f>Y47-INDEX(H47:K47,1,AQ45)</f>
        <v>3</v>
      </c>
      <c r="AU47" s="78">
        <f>IF(OR(AH50&lt;&gt;3,AI47="x"),0,AR47/10+AS47/1000+AT47/100000)</f>
        <v>0</v>
      </c>
      <c r="AV47" s="42"/>
      <c r="AW47" s="3"/>
      <c r="AX47" s="78">
        <f>AG47+AN47+AU47</f>
        <v>70404</v>
      </c>
      <c r="AY47" s="73">
        <f>IF(INDEX(AX46:AX49,U47)&lt;=INDEX(AX46:AX49,U46),U47,U46)</f>
        <v>1</v>
      </c>
      <c r="AZ47" s="1">
        <f>IF(INDEX(AX46:AX49,AY47)&gt;=INDEX(AX46:AX49,AY49),AY47,AY49)</f>
        <v>1</v>
      </c>
      <c r="BA47" s="75">
        <f>IF(INDEX(AX46:AX49,AZ47)&gt;=INDEX(AX46:AX49,AZ48),AZ47,AZ48)</f>
        <v>2</v>
      </c>
      <c r="BB47" s="77">
        <f>MATCH(U47,BA46:BA49,0)</f>
        <v>2</v>
      </c>
      <c r="BC47" s="73">
        <f>COUNTIF(AX46:AX49,AX47)</f>
        <v>1</v>
      </c>
      <c r="BD47" s="75" t="str">
        <f>IF(BC47=1,"x","")</f>
        <v>x</v>
      </c>
      <c r="BE47" s="76">
        <f>(BD47="x")*BB47</f>
        <v>2</v>
      </c>
      <c r="BZ47" s="1"/>
      <c r="CA47" s="1"/>
      <c r="CK47" s="1"/>
      <c r="CL47" s="1"/>
      <c r="CO47" s="1"/>
      <c r="CP47" s="1"/>
      <c r="CQ47" s="1"/>
      <c r="CR47" s="1"/>
      <c r="CS47" s="1"/>
      <c r="CW47" s="1"/>
      <c r="CX47" s="1"/>
      <c r="CY47" s="1"/>
      <c r="CZ47" s="1"/>
      <c r="DA47" s="1"/>
      <c r="DB47" s="1"/>
      <c r="DC47" s="1"/>
    </row>
    <row r="48" spans="1:107">
      <c r="A48" s="62" t="str">
        <f>Vorrunde!E51</f>
        <v>SV Sallach/Schweiz</v>
      </c>
      <c r="B48" s="3">
        <f>IF(ISNUMBER(Vorrunde!H51),Vorrunde!H51,"")</f>
        <v>0</v>
      </c>
      <c r="C48" s="3">
        <f>IF(ISNUMBER(Vorrunde!J51),Vorrunde!J51,"")</f>
        <v>3</v>
      </c>
      <c r="D48" s="63" t="str">
        <f>Vorrunde!G51</f>
        <v>TSV Altfraunhofen/Curacao</v>
      </c>
      <c r="E48" s="42"/>
      <c r="G48" s="72" t="str">
        <f>Text!A45</f>
        <v>Argentinien</v>
      </c>
      <c r="H48" s="73">
        <f>C47</f>
        <v>1</v>
      </c>
      <c r="I48" s="1">
        <f>C50</f>
        <v>0</v>
      </c>
      <c r="J48" s="74"/>
      <c r="K48" s="75">
        <f>B46</f>
        <v>4</v>
      </c>
      <c r="L48" s="42"/>
      <c r="N48" s="72" t="str">
        <f>Text!A45</f>
        <v>Argentinien</v>
      </c>
      <c r="O48" s="73">
        <f>IF(AND(ISNUMBER(H48),ISNUMBER(J46)),IF(H48&gt;J46,3,IF(H48=J46,1,0)),0)</f>
        <v>3</v>
      </c>
      <c r="P48" s="1">
        <f>IF(AND(ISNUMBER(I48),ISNUMBER(J47)),IF(I48&gt;J47,3,IF(I48=J47,1,0)),0)</f>
        <v>1</v>
      </c>
      <c r="Q48" s="74"/>
      <c r="R48" s="75">
        <f>IF(AND(ISNUMBER(K48),ISNUMBER(J49)),IF(K48&gt;J49,3,IF(K48=J49,1,0)),0)</f>
        <v>3</v>
      </c>
      <c r="S48" s="42"/>
      <c r="U48" s="1">
        <v>3</v>
      </c>
      <c r="V48" s="76" t="str">
        <f>Text!B45</f>
        <v>TSV Landshut-Auloh/Argentinien</v>
      </c>
      <c r="W48" s="73">
        <f>IF(COUNT(H48:K48)=COUNT(J46:J49),COUNT(J46:J49),"")</f>
        <v>3</v>
      </c>
      <c r="X48" s="1">
        <f>SUM(O48:R48)</f>
        <v>7</v>
      </c>
      <c r="Y48" s="1">
        <f>SUM(H48:K48)</f>
        <v>5</v>
      </c>
      <c r="Z48" s="1">
        <f>SUM(J46:J49)</f>
        <v>0</v>
      </c>
      <c r="AA48" s="75">
        <f>Y48-Z48</f>
        <v>5</v>
      </c>
      <c r="AB48" s="42"/>
      <c r="AD48" s="77">
        <f>BB48</f>
        <v>1</v>
      </c>
      <c r="AE48" s="42"/>
      <c r="AG48" s="76">
        <f>X48*10000+AA48*100+Y48</f>
        <v>70505</v>
      </c>
      <c r="AH48" s="76">
        <f>COUNTIF(AG46:AG49,AG48)</f>
        <v>1</v>
      </c>
      <c r="AI48" s="76" t="str">
        <f>IF(AH48=1,"x","")</f>
        <v>x</v>
      </c>
      <c r="AJ48" s="42"/>
      <c r="AK48" s="3"/>
      <c r="AL48" s="76">
        <f>IF(AI48="x",3,IF(AG49=AG48,4,IF(AG47=AG48,2,1)))</f>
        <v>3</v>
      </c>
      <c r="AM48" s="76">
        <f>INDEX(O48:R48,1,AL48)</f>
        <v>0</v>
      </c>
      <c r="AN48" s="78">
        <f>IF(OR(AH50=2,AH50=4),AM48/10,0)</f>
        <v>0</v>
      </c>
      <c r="AO48" s="42"/>
      <c r="AP48" s="3"/>
      <c r="AQ48" s="3"/>
      <c r="AR48" s="73">
        <f>X48-INDEX(O48:R48,1,AQ45)</f>
        <v>4</v>
      </c>
      <c r="AS48" s="76">
        <f>AA48-(INDEX(H48:K48,1,AQ45)-INDEX(J46:J49,AQ45))</f>
        <v>4</v>
      </c>
      <c r="AT48" s="73">
        <f>Y48-INDEX(H48:K48,1,AQ45)</f>
        <v>4</v>
      </c>
      <c r="AU48" s="78">
        <f>IF(OR(AH50&lt;&gt;3,AI48="x"),0,AR48/10+AS48/1000+AT48/100000)</f>
        <v>0</v>
      </c>
      <c r="AV48" s="42"/>
      <c r="AW48" s="3"/>
      <c r="AX48" s="78">
        <f>AG48+AN48+AU48</f>
        <v>70505</v>
      </c>
      <c r="AY48" s="73">
        <f>IF(INDEX(AX46:AX49,U48)&gt;=INDEX(AX46:AX49,U49),U48,U49)</f>
        <v>3</v>
      </c>
      <c r="AZ48" s="1">
        <f>IF(INDEX(AX46:AX49,AY48)&lt;=INDEX(AX46:AX49,AY46),AY48,AY46)</f>
        <v>2</v>
      </c>
      <c r="BA48" s="75">
        <f>IF(INDEX(AX46:AX49,AZ48)&lt;=INDEX(AX46:AX49,AZ47),AZ48,AZ47)</f>
        <v>1</v>
      </c>
      <c r="BB48" s="77">
        <f>MATCH(U48,BA46:BA49,0)</f>
        <v>1</v>
      </c>
      <c r="BC48" s="73">
        <f>COUNTIF(AX46:AX49,AX48)</f>
        <v>1</v>
      </c>
      <c r="BD48" s="75" t="str">
        <f>IF(BC48=1,"x","")</f>
        <v>x</v>
      </c>
      <c r="BE48" s="76">
        <f>(BD48="x")*BB48</f>
        <v>1</v>
      </c>
      <c r="BZ48" s="1"/>
      <c r="CA48" s="1"/>
      <c r="CK48" s="1"/>
      <c r="CL48" s="1"/>
      <c r="CO48" s="1"/>
      <c r="CP48" s="1"/>
      <c r="CQ48" s="1"/>
      <c r="CR48" s="1"/>
      <c r="CS48" s="1"/>
      <c r="CW48" s="1"/>
      <c r="CX48" s="1"/>
      <c r="CY48" s="1"/>
      <c r="CZ48" s="1"/>
      <c r="DA48" s="1"/>
      <c r="DB48" s="1"/>
      <c r="DC48" s="1"/>
    </row>
    <row r="49" spans="1:107">
      <c r="A49" s="62" t="str">
        <f>Vorrunde!E52</f>
        <v>SV Sallach/Schweiz</v>
      </c>
      <c r="B49" s="3">
        <f>IF(ISNUMBER(Vorrunde!H52),Vorrunde!H52,"")</f>
        <v>0</v>
      </c>
      <c r="C49" s="3">
        <f>IF(ISNUMBER(Vorrunde!J52),Vorrunde!J52,"")</f>
        <v>2</v>
      </c>
      <c r="D49" s="63" t="str">
        <f>Vorrunde!G52</f>
        <v>TSV Baierbach/England</v>
      </c>
      <c r="E49" s="79"/>
      <c r="F49" s="1"/>
      <c r="G49" s="80" t="str">
        <f>Text!A46</f>
        <v>Schweiz</v>
      </c>
      <c r="H49" s="81">
        <f>B49</f>
        <v>0</v>
      </c>
      <c r="I49" s="82">
        <f>B48</f>
        <v>0</v>
      </c>
      <c r="J49" s="82">
        <f>C46</f>
        <v>0</v>
      </c>
      <c r="K49" s="83"/>
      <c r="L49" s="79"/>
      <c r="M49" s="1"/>
      <c r="N49" s="80" t="str">
        <f>Text!A46</f>
        <v>Schweiz</v>
      </c>
      <c r="O49" s="81">
        <f>IF(AND(ISNUMBER(H49),ISNUMBER(K46)),IF(H49&gt;K46,3,IF(H49=K46,1,0)),0)</f>
        <v>0</v>
      </c>
      <c r="P49" s="82">
        <f>IF(AND(ISNUMBER(I49),ISNUMBER(K47)),IF(I49&gt;K47,3,IF(I49=K47,1,0)),0)</f>
        <v>0</v>
      </c>
      <c r="Q49" s="82">
        <f>IF(AND(ISNUMBER(J49),ISNUMBER(K48)),IF(J49&gt;K48,3,IF(J49=K48,1,0)),0)</f>
        <v>0</v>
      </c>
      <c r="R49" s="83"/>
      <c r="S49" s="79"/>
      <c r="T49" s="1"/>
      <c r="U49" s="1">
        <v>4</v>
      </c>
      <c r="V49" s="84" t="str">
        <f>Text!B46</f>
        <v>SV Sallach/Schweiz</v>
      </c>
      <c r="W49" s="81">
        <f>IF(COUNT(H49:K49)=COUNT(K46:K49),COUNT(K46:K49),"")</f>
        <v>3</v>
      </c>
      <c r="X49" s="82">
        <f>SUM(O49:R49)</f>
        <v>0</v>
      </c>
      <c r="Y49" s="82">
        <f>SUM(H49:K49)</f>
        <v>0</v>
      </c>
      <c r="Z49" s="82">
        <f>SUM(K46:K49)</f>
        <v>9</v>
      </c>
      <c r="AA49" s="85">
        <f>Y49-Z49</f>
        <v>-9</v>
      </c>
      <c r="AB49" s="79"/>
      <c r="AC49" s="1"/>
      <c r="AD49" s="86">
        <f>BB49</f>
        <v>4</v>
      </c>
      <c r="AE49" s="79"/>
      <c r="AF49" s="1"/>
      <c r="AG49" s="84">
        <f>X49*10000+AA49*100+Y49</f>
        <v>-900</v>
      </c>
      <c r="AH49" s="84">
        <f>COUNTIF(AG46:AG49,AG49)</f>
        <v>1</v>
      </c>
      <c r="AI49" s="84" t="str">
        <f>IF(AH49=1,"x","")</f>
        <v>x</v>
      </c>
      <c r="AJ49" s="79"/>
      <c r="AL49" s="84">
        <f>IF(AI49="x",4,IF(AG46=AG49,1,IF(AG47=AG49,2,3)))</f>
        <v>4</v>
      </c>
      <c r="AM49" s="84">
        <f>INDEX(O49:R49,1,AL49)</f>
        <v>0</v>
      </c>
      <c r="AN49" s="87">
        <f>IF(OR(AH50=2,AH50=4),AM49/10,0)</f>
        <v>0</v>
      </c>
      <c r="AO49" s="79"/>
      <c r="AR49" s="81">
        <f>X49-INDEX(O49:R49,1,AQ45)</f>
        <v>0</v>
      </c>
      <c r="AS49" s="84">
        <f>AA49-(INDEX(H49:K49,1,AQ45)-INDEX(K46:K49,AQ45))</f>
        <v>-7</v>
      </c>
      <c r="AT49" s="81">
        <f>Y49-INDEX(H49:K49,1,AQ45)</f>
        <v>0</v>
      </c>
      <c r="AU49" s="87">
        <f>IF(OR(AH50&lt;&gt;3,AI49="x"),0,AR49/10+AS49/1000+AT49/100000)</f>
        <v>0</v>
      </c>
      <c r="AV49" s="79"/>
      <c r="AX49" s="87">
        <f>AG49+AN49+AU49</f>
        <v>-900</v>
      </c>
      <c r="AY49" s="81">
        <f>IF(INDEX(AX46:AX49,U49)&lt;=INDEX(AX46:AX49,U48),U49,U48)</f>
        <v>4</v>
      </c>
      <c r="AZ49" s="82">
        <f>IF(INDEX(AX46:AX49,AY49)&lt;=INDEX(AX46:AX49,AY47),AY49,AY47)</f>
        <v>4</v>
      </c>
      <c r="BA49" s="85">
        <f>IF(INDEX(AX46:AX49,AZ49)&lt;=INDEX(AX46:AX49,AZ46),AZ49,AZ46)</f>
        <v>4</v>
      </c>
      <c r="BB49" s="86">
        <f>MATCH(U49,BA46:BA49,0)</f>
        <v>4</v>
      </c>
      <c r="BC49" s="81">
        <f>COUNTIF(AX46:AX49,AX49)</f>
        <v>1</v>
      </c>
      <c r="BD49" s="85" t="str">
        <f>IF(BC49=1,"x","")</f>
        <v>x</v>
      </c>
      <c r="BE49" s="76">
        <f>(BD49="x")*BB49</f>
        <v>4</v>
      </c>
      <c r="BZ49" s="1"/>
      <c r="CA49" s="1"/>
      <c r="CK49" s="1"/>
      <c r="CL49" s="1"/>
      <c r="CO49" s="1"/>
      <c r="CP49" s="1"/>
      <c r="CQ49" s="1"/>
      <c r="CR49" s="1"/>
      <c r="CS49" s="1"/>
      <c r="CW49" s="1"/>
      <c r="CX49" s="1"/>
      <c r="CY49" s="1"/>
      <c r="CZ49" s="1"/>
      <c r="DA49" s="1"/>
      <c r="DB49" s="1"/>
      <c r="DC49" s="1"/>
    </row>
    <row r="50" spans="1:107">
      <c r="A50" s="88" t="str">
        <f>Vorrunde!E53</f>
        <v>TSV Altfraunhofen/Curacao</v>
      </c>
      <c r="B50" s="89">
        <f>IF(ISNUMBER(Vorrunde!H53),Vorrunde!H53,"")</f>
        <v>0</v>
      </c>
      <c r="C50" s="89">
        <f>IF(ISNUMBER(Vorrunde!J53),Vorrunde!J53,"")</f>
        <v>0</v>
      </c>
      <c r="D50" s="90" t="str">
        <f>Vorrunde!G53</f>
        <v>TSV Landshut-Auloh/Argentinien</v>
      </c>
      <c r="E50" s="42"/>
      <c r="L50" s="42"/>
      <c r="S50" s="42"/>
      <c r="V50" s="4" t="s">
        <v>83</v>
      </c>
      <c r="W50" s="1" t="b">
        <f>SUM(W46:W49)=12</f>
        <v>1</v>
      </c>
      <c r="AB50" s="42"/>
      <c r="AD50" s="86" t="str">
        <f>BF50</f>
        <v>Eindeutige Platzierung</v>
      </c>
      <c r="AE50" s="42"/>
      <c r="AG50" s="91" t="s">
        <v>84</v>
      </c>
      <c r="AH50" s="92">
        <f>MOD(MIN(AH46:AH49)*MAX(AH46:AH49),11)</f>
        <v>1</v>
      </c>
      <c r="AJ50" s="42"/>
      <c r="AK50" s="3"/>
      <c r="AL50" s="3"/>
      <c r="AN50" s="1"/>
      <c r="AO50" s="42"/>
      <c r="AP50" s="3"/>
      <c r="AQ50" s="3"/>
      <c r="AR50" s="1"/>
      <c r="AS50" s="1"/>
      <c r="AV50" s="42"/>
      <c r="AW50" s="3"/>
      <c r="AX50" s="1"/>
      <c r="AY50" s="1"/>
      <c r="BD50" s="93">
        <f>COUNTIF(BD46:BD49,"x")</f>
        <v>4</v>
      </c>
      <c r="BE50" s="92">
        <f>SUM(BE46:BE49)</f>
        <v>10</v>
      </c>
      <c r="BF50" s="92" t="str">
        <f>IF(W50,IF(BD50&gt;=3,Text!B$71,IF(AND(BD50=2,BE50=3),Text!B$72,Text!B$73)),"")</f>
        <v>Eindeutige Platzierung</v>
      </c>
      <c r="BZ50" s="1"/>
      <c r="CA50" s="1"/>
      <c r="CK50" s="1"/>
      <c r="CL50" s="1"/>
      <c r="CO50" s="1"/>
      <c r="CP50" s="1"/>
      <c r="CQ50" s="1"/>
      <c r="CR50" s="1"/>
      <c r="CS50" s="1"/>
      <c r="CW50" s="1"/>
      <c r="CX50" s="1"/>
      <c r="CY50" s="1"/>
      <c r="CZ50" s="1"/>
      <c r="DA50" s="1"/>
      <c r="DB50" s="1"/>
      <c r="DC50" s="1"/>
    </row>
    <row r="51" spans="1:107">
      <c r="A51" s="7"/>
      <c r="E51" s="42"/>
      <c r="L51" s="42"/>
      <c r="S51" s="42"/>
      <c r="AB51" s="42"/>
      <c r="AE51" s="42"/>
      <c r="AG51" s="43"/>
      <c r="AH51" s="43"/>
      <c r="AJ51" s="42"/>
      <c r="AK51" s="3"/>
      <c r="AL51" s="43"/>
      <c r="AM51" s="43"/>
      <c r="AN51" s="43"/>
      <c r="AO51" s="42"/>
      <c r="AP51" s="3"/>
      <c r="AQ51" s="43"/>
      <c r="AR51" s="166"/>
      <c r="AS51" s="166"/>
      <c r="AT51" s="166"/>
      <c r="AU51" s="43"/>
      <c r="AV51" s="42"/>
      <c r="AW51" s="3"/>
      <c r="AX51" s="1"/>
      <c r="AY51" s="165"/>
      <c r="AZ51" s="165"/>
      <c r="BA51" s="165"/>
      <c r="BB51" s="7"/>
      <c r="BC51" s="166"/>
      <c r="BD51" s="166"/>
      <c r="BE51" s="166"/>
      <c r="BZ51" s="1"/>
      <c r="CA51" s="1"/>
      <c r="CK51" s="1"/>
      <c r="CL51" s="1"/>
      <c r="CO51" s="1"/>
      <c r="CP51" s="1"/>
      <c r="CQ51" s="1"/>
      <c r="CR51" s="1"/>
      <c r="CS51" s="1"/>
      <c r="CW51" s="1"/>
      <c r="CX51" s="1"/>
      <c r="CY51" s="1"/>
      <c r="CZ51" s="1"/>
      <c r="DA51" s="1"/>
      <c r="DB51" s="1"/>
      <c r="DC51" s="1"/>
    </row>
    <row r="52" spans="1:107">
      <c r="A52" s="7" t="str">
        <f>Text!B50</f>
        <v>GRUPPE G</v>
      </c>
      <c r="E52" s="42"/>
      <c r="L52" s="42"/>
      <c r="S52" s="42"/>
      <c r="AB52" s="42"/>
      <c r="AE52" s="42"/>
      <c r="AG52" s="43"/>
      <c r="AH52" s="43"/>
      <c r="AJ52" s="42"/>
      <c r="AK52" s="3"/>
      <c r="AL52" s="43"/>
      <c r="AM52" s="43"/>
      <c r="AN52" s="43"/>
      <c r="AO52" s="42"/>
      <c r="AP52" s="3"/>
      <c r="AQ52" s="43"/>
      <c r="AR52" s="166"/>
      <c r="AS52" s="166"/>
      <c r="AT52" s="166"/>
      <c r="AU52" s="43"/>
      <c r="AV52" s="42"/>
      <c r="AW52" s="3"/>
      <c r="AX52" s="1"/>
      <c r="AY52" s="165"/>
      <c r="AZ52" s="165"/>
      <c r="BA52" s="165"/>
      <c r="BB52" s="7"/>
      <c r="BC52" s="166"/>
      <c r="BD52" s="166"/>
      <c r="BE52" s="166"/>
      <c r="BZ52" s="1"/>
      <c r="CA52" s="1"/>
      <c r="CK52" s="1"/>
      <c r="CL52" s="1"/>
      <c r="CO52" s="1"/>
      <c r="CP52" s="1"/>
      <c r="CQ52" s="1"/>
      <c r="CR52" s="1"/>
      <c r="CS52" s="1"/>
      <c r="CW52" s="1"/>
      <c r="CX52" s="1"/>
      <c r="CY52" s="1"/>
      <c r="CZ52" s="1"/>
      <c r="DA52" s="1"/>
      <c r="DB52" s="1"/>
      <c r="DC52" s="1"/>
    </row>
    <row r="53" spans="1:107" ht="43.8">
      <c r="A53" s="49" t="str">
        <f>Vorrunde!E56</f>
        <v>DJK SV Furth/Katar</v>
      </c>
      <c r="B53" s="50">
        <f>IF(ISNUMBER(Vorrunde!H56),Vorrunde!H56,"")</f>
        <v>1</v>
      </c>
      <c r="C53" s="50">
        <f>IF(ISNUMBER(Vorrunde!J56),Vorrunde!J56,"")</f>
        <v>1</v>
      </c>
      <c r="D53" s="51" t="str">
        <f>Vorrunde!G56</f>
        <v>DJK-SV Altdorf/Uruguay</v>
      </c>
      <c r="E53" s="52"/>
      <c r="F53" s="53"/>
      <c r="G53" s="54">
        <f>SUM(H54:K57)</f>
        <v>11</v>
      </c>
      <c r="H53" s="55" t="str">
        <f>Text!A51</f>
        <v>Katar</v>
      </c>
      <c r="I53" s="56" t="str">
        <f>Text!A52</f>
        <v>Uruguay</v>
      </c>
      <c r="J53" s="56" t="str">
        <f>Text!A53</f>
        <v>Neuseeland</v>
      </c>
      <c r="K53" s="57" t="str">
        <f>Text!A54</f>
        <v>Brasilien</v>
      </c>
      <c r="L53" s="52"/>
      <c r="M53" s="53"/>
      <c r="N53" s="54">
        <f>SUM(O54:R57)</f>
        <v>14</v>
      </c>
      <c r="O53" s="55" t="str">
        <f>Text!A51</f>
        <v>Katar</v>
      </c>
      <c r="P53" s="56" t="str">
        <f>Text!A52</f>
        <v>Uruguay</v>
      </c>
      <c r="Q53" s="56" t="str">
        <f>Text!A53</f>
        <v>Neuseeland</v>
      </c>
      <c r="R53" s="57" t="str">
        <f>Text!A54</f>
        <v>Brasilien</v>
      </c>
      <c r="S53" s="52"/>
      <c r="T53" s="53"/>
      <c r="W53" s="58" t="str">
        <f>Text!A$64</f>
        <v>Sp.</v>
      </c>
      <c r="X53" s="59" t="str">
        <f>Text!A$65</f>
        <v>Pkte.</v>
      </c>
      <c r="Y53" s="59" t="str">
        <f>Text!A$66</f>
        <v>T</v>
      </c>
      <c r="Z53" s="59" t="str">
        <f>Text!A$67</f>
        <v>GT</v>
      </c>
      <c r="AA53" s="60" t="str">
        <f>Text!A$68</f>
        <v>Diff.</v>
      </c>
      <c r="AB53" s="52"/>
      <c r="AC53" s="53"/>
      <c r="AE53" s="52"/>
      <c r="AF53" s="53"/>
      <c r="AG53" s="1"/>
      <c r="AJ53" s="52"/>
      <c r="AK53" s="53"/>
      <c r="AL53" s="53"/>
      <c r="AN53" s="1"/>
      <c r="AO53" s="52"/>
      <c r="AP53" s="53"/>
      <c r="AQ53" s="61">
        <f>MATCH(1,AH54:AH57,0)</f>
        <v>1</v>
      </c>
      <c r="AR53" s="1"/>
      <c r="AS53" s="1"/>
      <c r="AV53" s="52"/>
      <c r="AW53" s="53"/>
      <c r="AX53" s="43"/>
      <c r="AY53" s="1"/>
      <c r="BZ53" s="1"/>
      <c r="CA53" s="1"/>
      <c r="CK53" s="1"/>
      <c r="CL53" s="1"/>
      <c r="CO53" s="1"/>
      <c r="CP53" s="1"/>
      <c r="CQ53" s="1"/>
      <c r="CR53" s="1"/>
      <c r="CS53" s="1"/>
      <c r="CW53" s="1"/>
      <c r="CX53" s="1"/>
      <c r="CY53" s="1"/>
      <c r="CZ53" s="1"/>
      <c r="DA53" s="1"/>
      <c r="DB53" s="1"/>
      <c r="DC53" s="1"/>
    </row>
    <row r="54" spans="1:107">
      <c r="A54" s="62" t="str">
        <f>Vorrunde!E57</f>
        <v>TSV Ergoldsbach/Neuseeland</v>
      </c>
      <c r="B54" s="3">
        <f>IF(ISNUMBER(Vorrunde!H57),Vorrunde!H57,"")</f>
        <v>2</v>
      </c>
      <c r="C54" s="3">
        <f>IF(ISNUMBER(Vorrunde!J57),Vorrunde!J57,"")</f>
        <v>1</v>
      </c>
      <c r="D54" s="63" t="str">
        <f>Vorrunde!G57</f>
        <v>FC Ergolding/Brasilien</v>
      </c>
      <c r="E54" s="42"/>
      <c r="G54" s="64" t="str">
        <f>Text!A51</f>
        <v>Katar</v>
      </c>
      <c r="H54" s="65"/>
      <c r="I54" s="66">
        <f>B53</f>
        <v>1</v>
      </c>
      <c r="J54" s="66">
        <f>B55</f>
        <v>1</v>
      </c>
      <c r="K54" s="67">
        <f>C57</f>
        <v>0</v>
      </c>
      <c r="L54" s="42"/>
      <c r="N54" s="64" t="str">
        <f>Text!A51</f>
        <v>Katar</v>
      </c>
      <c r="O54" s="65"/>
      <c r="P54" s="66">
        <f>IF(AND(ISNUMBER(I54),ISNUMBER(H55)),IF(I54&gt;H55,3,IF(I54=H55,1,0)),0)</f>
        <v>1</v>
      </c>
      <c r="Q54" s="66">
        <f>IF(AND(ISNUMBER(J54),ISNUMBER(H56)),IF(J54&gt;H56,3,IF(J54=H56,1,0)),0)</f>
        <v>0</v>
      </c>
      <c r="R54" s="67">
        <f>IF(AND(ISNUMBER(K54),ISNUMBER(H57)),IF(K54&gt;H57,3,IF(K54=H57,1,0)),0)</f>
        <v>1</v>
      </c>
      <c r="S54" s="42"/>
      <c r="U54" s="1">
        <v>1</v>
      </c>
      <c r="V54" s="68" t="str">
        <f>Text!B51</f>
        <v>DJK SV Furth/Katar</v>
      </c>
      <c r="W54" s="69">
        <f>IF(COUNT(H54:K54)=COUNT(H54:H57),COUNT(H54:H57),"")</f>
        <v>3</v>
      </c>
      <c r="X54" s="66">
        <f>SUM(O54:R54)</f>
        <v>2</v>
      </c>
      <c r="Y54" s="66">
        <f>SUM(H54:K54)</f>
        <v>2</v>
      </c>
      <c r="Z54" s="66">
        <f>SUM(H54:H57)</f>
        <v>4</v>
      </c>
      <c r="AA54" s="67">
        <f>Y54-Z54</f>
        <v>-2</v>
      </c>
      <c r="AB54" s="42"/>
      <c r="AD54" s="70">
        <f>BB54</f>
        <v>4</v>
      </c>
      <c r="AE54" s="42"/>
      <c r="AG54" s="68">
        <f>X54*10000+AA54*100+Y54</f>
        <v>19802</v>
      </c>
      <c r="AH54" s="68">
        <f>COUNTIF(AG54:AG57,AG54)</f>
        <v>1</v>
      </c>
      <c r="AI54" s="68" t="str">
        <f>IF(AH54=1,"x","")</f>
        <v>x</v>
      </c>
      <c r="AJ54" s="42"/>
      <c r="AK54" s="3"/>
      <c r="AL54" s="68">
        <f>IF(AI54="x",1,IF(AG55=AG54,2,IF(AG56=AG54,3,4)))</f>
        <v>1</v>
      </c>
      <c r="AM54" s="68">
        <f>INDEX(O54:R54,1,AL54)</f>
        <v>0</v>
      </c>
      <c r="AN54" s="71">
        <f>IF(OR(AH58=2,AH58=4),AM54/10,0)</f>
        <v>0</v>
      </c>
      <c r="AO54" s="42"/>
      <c r="AP54" s="3"/>
      <c r="AQ54" s="3"/>
      <c r="AR54" s="69">
        <f>X54-INDEX(O54:R54,1,AQ53)</f>
        <v>2</v>
      </c>
      <c r="AS54" s="68">
        <f>AA54-(INDEX(H54:K54,1,AQ53)-INDEX(H54:H57,AQ53,1))</f>
        <v>-2</v>
      </c>
      <c r="AT54" s="69">
        <f>Y54-INDEX(H54:K54,1,AQ53)</f>
        <v>2</v>
      </c>
      <c r="AU54" s="71">
        <f>IF(OR(AH58&lt;&gt;3,AI54="x"),0,AR54/10+AS54/1000+AT54/100000)</f>
        <v>0</v>
      </c>
      <c r="AV54" s="42"/>
      <c r="AW54" s="3"/>
      <c r="AX54" s="71">
        <f>AG54+AN54+AU54</f>
        <v>19802</v>
      </c>
      <c r="AY54" s="69">
        <f>IF(INDEX(AX54:AX57,U54)&gt;=INDEX(AX54:AX57,U55),U54,U55)</f>
        <v>2</v>
      </c>
      <c r="AZ54" s="66">
        <f>IF(INDEX(AX54:AX57,AY54)&gt;=INDEX(AX54:AX57,AY56),AY54,AY56)</f>
        <v>3</v>
      </c>
      <c r="BA54" s="67">
        <f>IF(INDEX(AX54:AX57,AZ54)&gt;=INDEX(AX54:AX57,AZ57),AZ54,AZ57)</f>
        <v>3</v>
      </c>
      <c r="BB54" s="70">
        <f>MATCH(U54,BA54:BA57,0)</f>
        <v>4</v>
      </c>
      <c r="BC54" s="69">
        <f>COUNTIF(AX54:AX57,AX54)</f>
        <v>1</v>
      </c>
      <c r="BD54" s="67" t="str">
        <f>IF(BC54=1,"x","")</f>
        <v>x</v>
      </c>
      <c r="BE54" s="68">
        <f>(BD54="x")*BB54</f>
        <v>4</v>
      </c>
      <c r="BZ54" s="1"/>
      <c r="CA54" s="1"/>
      <c r="CK54" s="1"/>
      <c r="CL54" s="1"/>
      <c r="CO54" s="1"/>
      <c r="CP54" s="1"/>
      <c r="CQ54" s="1"/>
      <c r="CR54" s="1"/>
      <c r="CS54" s="1"/>
      <c r="CW54" s="1"/>
      <c r="CX54" s="1"/>
      <c r="CY54" s="1"/>
      <c r="CZ54" s="1"/>
      <c r="DA54" s="1"/>
      <c r="DB54" s="1"/>
      <c r="DC54" s="1"/>
    </row>
    <row r="55" spans="1:107">
      <c r="A55" s="62" t="str">
        <f>Vorrunde!E58</f>
        <v>DJK SV Furth/Katar</v>
      </c>
      <c r="B55" s="3">
        <f>IF(ISNUMBER(Vorrunde!H58),Vorrunde!H58,"")</f>
        <v>1</v>
      </c>
      <c r="C55" s="3">
        <f>IF(ISNUMBER(Vorrunde!J58),Vorrunde!J58,"")</f>
        <v>3</v>
      </c>
      <c r="D55" s="63" t="str">
        <f>Vorrunde!G58</f>
        <v>TSV Ergoldsbach/Neuseeland</v>
      </c>
      <c r="E55" s="42"/>
      <c r="G55" s="72" t="str">
        <f>Text!A52</f>
        <v>Uruguay</v>
      </c>
      <c r="H55" s="73">
        <f>C53</f>
        <v>1</v>
      </c>
      <c r="I55" s="74"/>
      <c r="J55" s="1">
        <f>B58</f>
        <v>1</v>
      </c>
      <c r="K55" s="75">
        <f>C56</f>
        <v>0</v>
      </c>
      <c r="L55" s="42"/>
      <c r="N55" s="72" t="str">
        <f>Text!A52</f>
        <v>Uruguay</v>
      </c>
      <c r="O55" s="73">
        <f>IF(AND(ISNUMBER(H55),ISNUMBER(I54)),IF(H55&gt;I54,3,IF(H55=I54,1,0)),0)</f>
        <v>1</v>
      </c>
      <c r="P55" s="74"/>
      <c r="Q55" s="1">
        <f>IF(AND(ISNUMBER(J55),ISNUMBER(I56)),IF(J55&gt;I56,3,IF(J55=I56,1,0)),0)</f>
        <v>1</v>
      </c>
      <c r="R55" s="75">
        <f>IF(AND(ISNUMBER(K55),ISNUMBER(I57)),IF(K55&gt;I57,3,IF(K55=I57,1,0)),0)</f>
        <v>1</v>
      </c>
      <c r="S55" s="42"/>
      <c r="U55" s="1">
        <v>2</v>
      </c>
      <c r="V55" s="76" t="str">
        <f>Text!B52</f>
        <v>DJK-SV Altdorf/Uruguay</v>
      </c>
      <c r="W55" s="73">
        <f>IF(COUNT(H55:K55)=COUNT(I54:I57),COUNT(I54:I57),"")</f>
        <v>3</v>
      </c>
      <c r="X55" s="1">
        <f>SUM(O55:R55)</f>
        <v>3</v>
      </c>
      <c r="Y55" s="1">
        <f>SUM(H55:K55)</f>
        <v>2</v>
      </c>
      <c r="Z55" s="1">
        <f>SUM(I54:I57)</f>
        <v>2</v>
      </c>
      <c r="AA55" s="75">
        <f>Y55-Z55</f>
        <v>0</v>
      </c>
      <c r="AB55" s="42"/>
      <c r="AD55" s="77">
        <f>BB55</f>
        <v>2</v>
      </c>
      <c r="AE55" s="42"/>
      <c r="AG55" s="76">
        <f>X55*10000+AA55*100+Y55</f>
        <v>30002</v>
      </c>
      <c r="AH55" s="76">
        <f>COUNTIF(AG54:AG57,AG55)</f>
        <v>1</v>
      </c>
      <c r="AI55" s="76" t="str">
        <f>IF(AH55=1,"x","")</f>
        <v>x</v>
      </c>
      <c r="AJ55" s="42"/>
      <c r="AK55" s="3"/>
      <c r="AL55" s="76">
        <f>IF(AI55="x",2,IF(AG56=AG55,3,IF(AG57=AG55,4,1)))</f>
        <v>2</v>
      </c>
      <c r="AM55" s="76">
        <f>INDEX(O55:R55,1,AL55)</f>
        <v>0</v>
      </c>
      <c r="AN55" s="78">
        <f>IF(OR(AH58=2,AH58=4),AM55/10,0)</f>
        <v>0</v>
      </c>
      <c r="AO55" s="42"/>
      <c r="AP55" s="3"/>
      <c r="AQ55" s="3"/>
      <c r="AR55" s="73">
        <f>X55-INDEX(O55:R55,1,AQ53)</f>
        <v>2</v>
      </c>
      <c r="AS55" s="76">
        <f>AA55-(INDEX(H55:K55,1,AQ53)-INDEX(I54:I57,AQ53))</f>
        <v>0</v>
      </c>
      <c r="AT55" s="73">
        <f>Y55-INDEX(H55:K55,1,AQ53)</f>
        <v>1</v>
      </c>
      <c r="AU55" s="78">
        <f>IF(OR(AH58&lt;&gt;3,AI55="x"),0,AR55/10+AS55/1000+AT55/100000)</f>
        <v>0</v>
      </c>
      <c r="AV55" s="42"/>
      <c r="AW55" s="3"/>
      <c r="AX55" s="78">
        <f>AG55+AN55+AU55</f>
        <v>30002</v>
      </c>
      <c r="AY55" s="73">
        <f>IF(INDEX(AX54:AX57,U55)&lt;=INDEX(AX54:AX57,U54),U55,U54)</f>
        <v>1</v>
      </c>
      <c r="AZ55" s="1">
        <f>IF(INDEX(AX54:AX57,AY55)&gt;=INDEX(AX54:AX57,AY57),AY55,AY57)</f>
        <v>4</v>
      </c>
      <c r="BA55" s="75">
        <f>IF(INDEX(AX54:AX57,AZ55)&gt;=INDEX(AX54:AX57,AZ56),AZ55,AZ56)</f>
        <v>2</v>
      </c>
      <c r="BB55" s="77">
        <f>MATCH(U55,BA54:BA57,0)</f>
        <v>2</v>
      </c>
      <c r="BC55" s="73">
        <f>COUNTIF(AX54:AX57,AX55)</f>
        <v>1</v>
      </c>
      <c r="BD55" s="75" t="str">
        <f>IF(BC55=1,"x","")</f>
        <v>x</v>
      </c>
      <c r="BE55" s="76">
        <f>(BD55="x")*BB55</f>
        <v>2</v>
      </c>
      <c r="BZ55" s="1"/>
      <c r="CA55" s="1"/>
      <c r="CK55" s="1"/>
      <c r="CL55" s="1"/>
      <c r="CO55" s="1"/>
      <c r="CP55" s="1"/>
      <c r="CQ55" s="1"/>
      <c r="CR55" s="1"/>
      <c r="CS55" s="1"/>
      <c r="CW55" s="1"/>
      <c r="CX55" s="1"/>
      <c r="CY55" s="1"/>
      <c r="CZ55" s="1"/>
      <c r="DA55" s="1"/>
      <c r="DB55" s="1"/>
      <c r="DC55" s="1"/>
    </row>
    <row r="56" spans="1:107">
      <c r="A56" s="62" t="str">
        <f>Vorrunde!E59</f>
        <v>FC Ergolding/Brasilien</v>
      </c>
      <c r="B56" s="3">
        <f>IF(ISNUMBER(Vorrunde!H59),Vorrunde!H59,"")</f>
        <v>0</v>
      </c>
      <c r="C56" s="3">
        <f>IF(ISNUMBER(Vorrunde!J59),Vorrunde!J59,"")</f>
        <v>0</v>
      </c>
      <c r="D56" s="63" t="str">
        <f>Vorrunde!G59</f>
        <v>DJK-SV Altdorf/Uruguay</v>
      </c>
      <c r="E56" s="42"/>
      <c r="G56" s="72" t="str">
        <f>Text!A53</f>
        <v>Neuseeland</v>
      </c>
      <c r="H56" s="73">
        <f>C55</f>
        <v>3</v>
      </c>
      <c r="I56" s="1">
        <f>C58</f>
        <v>1</v>
      </c>
      <c r="J56" s="74"/>
      <c r="K56" s="75">
        <f>B54</f>
        <v>2</v>
      </c>
      <c r="L56" s="42"/>
      <c r="N56" s="72" t="str">
        <f>Text!A53</f>
        <v>Neuseeland</v>
      </c>
      <c r="O56" s="73">
        <f>IF(AND(ISNUMBER(H56),ISNUMBER(J54)),IF(H56&gt;J54,3,IF(H56=J54,1,0)),0)</f>
        <v>3</v>
      </c>
      <c r="P56" s="1">
        <f>IF(AND(ISNUMBER(I56),ISNUMBER(J55)),IF(I56&gt;J55,3,IF(I56=J55,1,0)),0)</f>
        <v>1</v>
      </c>
      <c r="Q56" s="74"/>
      <c r="R56" s="75">
        <f>IF(AND(ISNUMBER(K56),ISNUMBER(J57)),IF(K56&gt;J57,3,IF(K56=J57,1,0)),0)</f>
        <v>3</v>
      </c>
      <c r="S56" s="42"/>
      <c r="U56" s="1">
        <v>3</v>
      </c>
      <c r="V56" s="76" t="str">
        <f>Text!B53</f>
        <v>TSV Ergoldsbach/Neuseeland</v>
      </c>
      <c r="W56" s="73">
        <f>IF(COUNT(H56:K56)=COUNT(J54:J57),COUNT(J54:J57),"")</f>
        <v>3</v>
      </c>
      <c r="X56" s="1">
        <f>SUM(O56:R56)</f>
        <v>7</v>
      </c>
      <c r="Y56" s="1">
        <f>SUM(H56:K56)</f>
        <v>6</v>
      </c>
      <c r="Z56" s="1">
        <f>SUM(J54:J57)</f>
        <v>3</v>
      </c>
      <c r="AA56" s="75">
        <f>Y56-Z56</f>
        <v>3</v>
      </c>
      <c r="AB56" s="42"/>
      <c r="AD56" s="77">
        <f>BB56</f>
        <v>1</v>
      </c>
      <c r="AE56" s="42"/>
      <c r="AG56" s="76">
        <f>X56*10000+AA56*100+Y56</f>
        <v>70306</v>
      </c>
      <c r="AH56" s="76">
        <f>COUNTIF(AG54:AG57,AG56)</f>
        <v>1</v>
      </c>
      <c r="AI56" s="76" t="str">
        <f>IF(AH56=1,"x","")</f>
        <v>x</v>
      </c>
      <c r="AJ56" s="42"/>
      <c r="AK56" s="3"/>
      <c r="AL56" s="76">
        <f>IF(AI56="x",3,IF(AG57=AG56,4,IF(AG55=AG56,2,1)))</f>
        <v>3</v>
      </c>
      <c r="AM56" s="76">
        <f>INDEX(O56:R56,1,AL56)</f>
        <v>0</v>
      </c>
      <c r="AN56" s="78">
        <f>IF(OR(AH58=2,AH58=4),AM56/10,0)</f>
        <v>0</v>
      </c>
      <c r="AO56" s="42"/>
      <c r="AP56" s="3"/>
      <c r="AQ56" s="3"/>
      <c r="AR56" s="73">
        <f>X56-INDEX(O56:R56,1,AQ53)</f>
        <v>4</v>
      </c>
      <c r="AS56" s="76">
        <f>AA56-(INDEX(H56:K56,1,AQ53)-INDEX(J54:J57,AQ53))</f>
        <v>1</v>
      </c>
      <c r="AT56" s="73">
        <f>Y56-INDEX(H56:K56,1,AQ53)</f>
        <v>3</v>
      </c>
      <c r="AU56" s="78">
        <f>IF(OR(AH58&lt;&gt;3,AI56="x"),0,AR56/10+AS56/1000+AT56/100000)</f>
        <v>0</v>
      </c>
      <c r="AV56" s="42"/>
      <c r="AW56" s="3"/>
      <c r="AX56" s="78">
        <f>AG56+AN56+AU56</f>
        <v>70306</v>
      </c>
      <c r="AY56" s="73">
        <f>IF(INDEX(AX54:AX57,U56)&gt;=INDEX(AX54:AX57,U57),U56,U57)</f>
        <v>3</v>
      </c>
      <c r="AZ56" s="1">
        <f>IF(INDEX(AX54:AX57,AY56)&lt;=INDEX(AX54:AX57,AY54),AY56,AY54)</f>
        <v>2</v>
      </c>
      <c r="BA56" s="75">
        <f>IF(INDEX(AX54:AX57,AZ56)&lt;=INDEX(AX54:AX57,AZ55),AZ56,AZ55)</f>
        <v>4</v>
      </c>
      <c r="BB56" s="77">
        <f>MATCH(U56,BA54:BA57,0)</f>
        <v>1</v>
      </c>
      <c r="BC56" s="73">
        <f>COUNTIF(AX54:AX57,AX56)</f>
        <v>1</v>
      </c>
      <c r="BD56" s="75" t="str">
        <f>IF(BC56=1,"x","")</f>
        <v>x</v>
      </c>
      <c r="BE56" s="76">
        <f>(BD56="x")*BB56</f>
        <v>1</v>
      </c>
      <c r="BZ56" s="1"/>
      <c r="CA56" s="1"/>
      <c r="CK56" s="1"/>
      <c r="CL56" s="1"/>
      <c r="CO56" s="1"/>
      <c r="CP56" s="1"/>
      <c r="CQ56" s="1"/>
      <c r="CR56" s="1"/>
      <c r="CS56" s="1"/>
      <c r="CW56" s="1"/>
      <c r="CX56" s="1"/>
      <c r="CY56" s="1"/>
      <c r="CZ56" s="1"/>
      <c r="DA56" s="1"/>
      <c r="DB56" s="1"/>
      <c r="DC56" s="1"/>
    </row>
    <row r="57" spans="1:107">
      <c r="A57" s="62" t="str">
        <f>Vorrunde!E60</f>
        <v>FC Ergolding/Brasilien</v>
      </c>
      <c r="B57" s="3">
        <f>IF(ISNUMBER(Vorrunde!H60),Vorrunde!H60,"")</f>
        <v>0</v>
      </c>
      <c r="C57" s="3">
        <f>IF(ISNUMBER(Vorrunde!J60),Vorrunde!J60,"")</f>
        <v>0</v>
      </c>
      <c r="D57" s="63" t="str">
        <f>Vorrunde!G60</f>
        <v>DJK SV Furth/Katar</v>
      </c>
      <c r="E57" s="79"/>
      <c r="F57" s="1"/>
      <c r="G57" s="80" t="str">
        <f>Text!A54</f>
        <v>Brasilien</v>
      </c>
      <c r="H57" s="81">
        <f>B57</f>
        <v>0</v>
      </c>
      <c r="I57" s="82">
        <f>B56</f>
        <v>0</v>
      </c>
      <c r="J57" s="82">
        <f>C54</f>
        <v>1</v>
      </c>
      <c r="K57" s="83"/>
      <c r="L57" s="79"/>
      <c r="M57" s="1"/>
      <c r="N57" s="80" t="str">
        <f>Text!A54</f>
        <v>Brasilien</v>
      </c>
      <c r="O57" s="81">
        <f>IF(AND(ISNUMBER(H57),ISNUMBER(K54)),IF(H57&gt;K54,3,IF(H57=K54,1,0)),0)</f>
        <v>1</v>
      </c>
      <c r="P57" s="82">
        <f>IF(AND(ISNUMBER(I57),ISNUMBER(K55)),IF(I57&gt;K55,3,IF(I57=K55,1,0)),0)</f>
        <v>1</v>
      </c>
      <c r="Q57" s="82">
        <f>IF(AND(ISNUMBER(J57),ISNUMBER(K56)),IF(J57&gt;K56,3,IF(J57=K56,1,0)),0)</f>
        <v>0</v>
      </c>
      <c r="R57" s="83"/>
      <c r="S57" s="79"/>
      <c r="T57" s="1"/>
      <c r="U57" s="1">
        <v>4</v>
      </c>
      <c r="V57" s="84" t="str">
        <f>Text!B54</f>
        <v>FC Ergolding/Brasilien</v>
      </c>
      <c r="W57" s="81">
        <f>IF(COUNT(H57:K57)=COUNT(K54:K57),COUNT(K54:K57),"")</f>
        <v>3</v>
      </c>
      <c r="X57" s="82">
        <f>SUM(O57:R57)</f>
        <v>2</v>
      </c>
      <c r="Y57" s="82">
        <f>SUM(H57:K57)</f>
        <v>1</v>
      </c>
      <c r="Z57" s="82">
        <f>SUM(K54:K57)</f>
        <v>2</v>
      </c>
      <c r="AA57" s="85">
        <f>Y57-Z57</f>
        <v>-1</v>
      </c>
      <c r="AB57" s="79"/>
      <c r="AC57" s="1"/>
      <c r="AD57" s="86">
        <f>BB57</f>
        <v>3</v>
      </c>
      <c r="AE57" s="79"/>
      <c r="AF57" s="1"/>
      <c r="AG57" s="84">
        <f>X57*10000+AA57*100+Y57</f>
        <v>19901</v>
      </c>
      <c r="AH57" s="84">
        <f>COUNTIF(AG54:AG57,AG57)</f>
        <v>1</v>
      </c>
      <c r="AI57" s="84" t="str">
        <f>IF(AH57=1,"x","")</f>
        <v>x</v>
      </c>
      <c r="AJ57" s="79"/>
      <c r="AL57" s="84">
        <f>IF(AI57="x",4,IF(AG54=AG57,1,IF(AG55=AG57,2,3)))</f>
        <v>4</v>
      </c>
      <c r="AM57" s="84">
        <f>INDEX(O57:R57,1,AL57)</f>
        <v>0</v>
      </c>
      <c r="AN57" s="87">
        <f>IF(OR(AH58=2,AH58=4),AM57/10,0)</f>
        <v>0</v>
      </c>
      <c r="AO57" s="79"/>
      <c r="AR57" s="81">
        <f>X57-INDEX(O57:R57,1,AQ53)</f>
        <v>1</v>
      </c>
      <c r="AS57" s="84">
        <f>AA57-(INDEX(H57:K57,1,AQ53)-INDEX(K54:K57,AQ53))</f>
        <v>-1</v>
      </c>
      <c r="AT57" s="81">
        <f>Y57-INDEX(H57:K57,1,AQ53)</f>
        <v>1</v>
      </c>
      <c r="AU57" s="87">
        <f>IF(OR(AH58&lt;&gt;3,AI57="x"),0,AR57/10+AS57/1000+AT57/100000)</f>
        <v>0</v>
      </c>
      <c r="AV57" s="79"/>
      <c r="AX57" s="87">
        <f>AG57+AN57+AU57</f>
        <v>19901</v>
      </c>
      <c r="AY57" s="81">
        <f>IF(INDEX(AX54:AX57,U57)&lt;=INDEX(AX54:AX57,U56),U57,U56)</f>
        <v>4</v>
      </c>
      <c r="AZ57" s="82">
        <f>IF(INDEX(AX54:AX57,AY57)&lt;=INDEX(AX54:AX57,AY55),AY57,AY55)</f>
        <v>1</v>
      </c>
      <c r="BA57" s="85">
        <f>IF(INDEX(AX54:AX57,AZ57)&lt;=INDEX(AX54:AX57,AZ54),AZ57,AZ54)</f>
        <v>1</v>
      </c>
      <c r="BB57" s="86">
        <f>MATCH(U57,BA54:BA57,0)</f>
        <v>3</v>
      </c>
      <c r="BC57" s="81">
        <f>COUNTIF(AX54:AX57,AX57)</f>
        <v>1</v>
      </c>
      <c r="BD57" s="85" t="str">
        <f>IF(BC57=1,"x","")</f>
        <v>x</v>
      </c>
      <c r="BE57" s="76">
        <f>(BD57="x")*BB57</f>
        <v>3</v>
      </c>
      <c r="BZ57" s="1"/>
      <c r="CA57" s="1"/>
      <c r="CK57" s="1"/>
      <c r="CL57" s="1"/>
      <c r="CO57" s="1"/>
      <c r="CP57" s="1"/>
      <c r="CQ57" s="1"/>
      <c r="CR57" s="1"/>
      <c r="CS57" s="1"/>
      <c r="CW57" s="1"/>
      <c r="CX57" s="1"/>
      <c r="CY57" s="1"/>
      <c r="CZ57" s="1"/>
      <c r="DA57" s="1"/>
      <c r="DB57" s="1"/>
      <c r="DC57" s="1"/>
    </row>
    <row r="58" spans="1:107">
      <c r="A58" s="88" t="str">
        <f>Vorrunde!E61</f>
        <v>DJK-SV Altdorf/Uruguay</v>
      </c>
      <c r="B58" s="89">
        <f>IF(ISNUMBER(Vorrunde!H61),Vorrunde!H61,"")</f>
        <v>1</v>
      </c>
      <c r="C58" s="89">
        <f>IF(ISNUMBER(Vorrunde!J61),Vorrunde!J61,"")</f>
        <v>1</v>
      </c>
      <c r="D58" s="90" t="str">
        <f>Vorrunde!G61</f>
        <v>TSV Ergoldsbach/Neuseeland</v>
      </c>
      <c r="E58" s="42"/>
      <c r="L58" s="42"/>
      <c r="S58" s="42"/>
      <c r="V58" s="4" t="s">
        <v>83</v>
      </c>
      <c r="W58" s="1" t="b">
        <f>SUM(W54:W57)=12</f>
        <v>1</v>
      </c>
      <c r="AB58" s="42"/>
      <c r="AD58" s="86" t="str">
        <f>BF58</f>
        <v>Eindeutige Platzierung</v>
      </c>
      <c r="AE58" s="42"/>
      <c r="AG58" s="91" t="s">
        <v>84</v>
      </c>
      <c r="AH58" s="92">
        <f>MOD(MIN(AH54:AH57)*MAX(AH54:AH57),11)</f>
        <v>1</v>
      </c>
      <c r="AJ58" s="42"/>
      <c r="AK58" s="3"/>
      <c r="AL58" s="3"/>
      <c r="AN58" s="1"/>
      <c r="AO58" s="42"/>
      <c r="AP58" s="3"/>
      <c r="AQ58" s="3"/>
      <c r="AR58" s="1"/>
      <c r="AS58" s="1"/>
      <c r="AV58" s="42"/>
      <c r="AW58" s="3"/>
      <c r="AX58" s="1"/>
      <c r="AY58" s="1"/>
      <c r="BD58" s="93">
        <f>COUNTIF(BD54:BD57,"x")</f>
        <v>4</v>
      </c>
      <c r="BE58" s="92">
        <f>SUM(BE54:BE57)</f>
        <v>10</v>
      </c>
      <c r="BF58" s="92" t="str">
        <f>IF(W58,IF(BD58&gt;=3,Text!B$71,IF(AND(BD58=2,BE58=3),Text!B$72,Text!B$73)),"")</f>
        <v>Eindeutige Platzierung</v>
      </c>
      <c r="BZ58" s="1"/>
      <c r="CA58" s="1"/>
      <c r="CK58" s="1"/>
      <c r="CL58" s="1"/>
      <c r="CO58" s="1"/>
      <c r="CP58" s="1"/>
      <c r="CQ58" s="1"/>
      <c r="CR58" s="1"/>
      <c r="CS58" s="1"/>
      <c r="CW58" s="1"/>
      <c r="CX58" s="1"/>
      <c r="CY58" s="1"/>
      <c r="CZ58" s="1"/>
      <c r="DA58" s="1"/>
      <c r="DB58" s="1"/>
      <c r="DC58" s="1"/>
    </row>
    <row r="59" spans="1:107">
      <c r="A59" s="7"/>
      <c r="E59" s="42"/>
      <c r="L59" s="42"/>
      <c r="S59" s="42"/>
      <c r="AB59" s="42"/>
      <c r="AE59" s="42"/>
      <c r="AG59" s="43"/>
      <c r="AH59" s="43"/>
      <c r="AJ59" s="42"/>
      <c r="AK59" s="3"/>
      <c r="AL59" s="43"/>
      <c r="AM59" s="43"/>
      <c r="AN59" s="43"/>
      <c r="AO59" s="42"/>
      <c r="AP59" s="3"/>
      <c r="AQ59" s="43"/>
      <c r="AR59" s="166"/>
      <c r="AS59" s="166"/>
      <c r="AT59" s="166"/>
      <c r="AU59" s="43"/>
      <c r="AV59" s="42"/>
      <c r="AW59" s="3"/>
      <c r="AX59" s="1"/>
      <c r="AY59" s="165"/>
      <c r="AZ59" s="165"/>
      <c r="BA59" s="165"/>
      <c r="BB59" s="7"/>
      <c r="BC59" s="166"/>
      <c r="BD59" s="166"/>
      <c r="BE59" s="166"/>
      <c r="BZ59" s="1"/>
      <c r="CA59" s="1"/>
      <c r="CK59" s="1"/>
      <c r="CL59" s="1"/>
      <c r="CO59" s="1"/>
      <c r="CP59" s="1"/>
      <c r="CQ59" s="1"/>
      <c r="CR59" s="1"/>
      <c r="CS59" s="1"/>
      <c r="CW59" s="1"/>
      <c r="CX59" s="1"/>
      <c r="CY59" s="1"/>
      <c r="CZ59" s="1"/>
      <c r="DA59" s="1"/>
      <c r="DB59" s="1"/>
      <c r="DC59" s="1"/>
    </row>
    <row r="60" spans="1:107">
      <c r="A60" s="7" t="str">
        <f>Text!B58</f>
        <v>GRUPPE H</v>
      </c>
      <c r="E60" s="42"/>
      <c r="L60" s="42"/>
      <c r="S60" s="42"/>
      <c r="AB60" s="42"/>
      <c r="AE60" s="42"/>
      <c r="AG60" s="43"/>
      <c r="AH60" s="43"/>
      <c r="AJ60" s="42"/>
      <c r="AK60" s="3"/>
      <c r="AL60" s="43"/>
      <c r="AM60" s="43"/>
      <c r="AN60" s="43"/>
      <c r="AO60" s="42"/>
      <c r="AP60" s="3"/>
      <c r="AQ60" s="43"/>
      <c r="AR60" s="166"/>
      <c r="AS60" s="166"/>
      <c r="AT60" s="166"/>
      <c r="AU60" s="43"/>
      <c r="AV60" s="42"/>
      <c r="AW60" s="3"/>
      <c r="AX60" s="1"/>
      <c r="AY60" s="165"/>
      <c r="AZ60" s="165"/>
      <c r="BA60" s="165"/>
      <c r="BB60" s="7"/>
      <c r="BC60" s="166"/>
      <c r="BD60" s="166"/>
      <c r="BE60" s="166"/>
      <c r="BZ60" s="1"/>
      <c r="CA60" s="1"/>
      <c r="CK60" s="1"/>
      <c r="CL60" s="1"/>
      <c r="CO60" s="1"/>
      <c r="CP60" s="1"/>
      <c r="CQ60" s="1"/>
      <c r="CR60" s="1"/>
      <c r="CS60" s="1"/>
      <c r="CW60" s="1"/>
      <c r="CX60" s="1"/>
      <c r="CY60" s="1"/>
      <c r="CZ60" s="1"/>
      <c r="DA60" s="1"/>
      <c r="DB60" s="1"/>
      <c r="DC60" s="1"/>
    </row>
    <row r="61" spans="1:107" ht="45.6">
      <c r="A61" s="49" t="str">
        <f>Vorrunde!E64</f>
        <v>SV Oberglaim/Kolumbien</v>
      </c>
      <c r="B61" s="50">
        <f>IF(ISNUMBER(Vorrunde!H64),Vorrunde!H64,"")</f>
        <v>2</v>
      </c>
      <c r="C61" s="50">
        <f>IF(ISNUMBER(Vorrunde!J64),Vorrunde!J64,"")</f>
        <v>1</v>
      </c>
      <c r="D61" s="51" t="str">
        <f>Vorrunde!G64</f>
        <v>SSV Pfeffenhausen/Deutschland</v>
      </c>
      <c r="E61" s="52"/>
      <c r="F61" s="53"/>
      <c r="G61" s="54">
        <f>SUM(H62:K65)</f>
        <v>18</v>
      </c>
      <c r="H61" s="55" t="str">
        <f>Text!A59</f>
        <v>Kolumbien</v>
      </c>
      <c r="I61" s="56" t="str">
        <f>Text!A60</f>
        <v>Deutschland</v>
      </c>
      <c r="J61" s="56" t="str">
        <f>Text!A61</f>
        <v>Ghana</v>
      </c>
      <c r="K61" s="57" t="str">
        <f>Text!A62</f>
        <v>USA</v>
      </c>
      <c r="L61" s="52"/>
      <c r="M61" s="53"/>
      <c r="N61" s="54">
        <f>SUM(O62:R65)</f>
        <v>16</v>
      </c>
      <c r="O61" s="55" t="str">
        <f>Text!A59</f>
        <v>Kolumbien</v>
      </c>
      <c r="P61" s="56" t="str">
        <f>Text!A60</f>
        <v>Deutschland</v>
      </c>
      <c r="Q61" s="56" t="str">
        <f>Text!A61</f>
        <v>Ghana</v>
      </c>
      <c r="R61" s="57" t="str">
        <f>Text!A62</f>
        <v>USA</v>
      </c>
      <c r="S61" s="52"/>
      <c r="T61" s="53"/>
      <c r="W61" s="58" t="str">
        <f>Text!A$64</f>
        <v>Sp.</v>
      </c>
      <c r="X61" s="59" t="str">
        <f>Text!A$65</f>
        <v>Pkte.</v>
      </c>
      <c r="Y61" s="59" t="str">
        <f>Text!A$66</f>
        <v>T</v>
      </c>
      <c r="Z61" s="59" t="str">
        <f>Text!A$67</f>
        <v>GT</v>
      </c>
      <c r="AA61" s="60" t="str">
        <f>Text!A$68</f>
        <v>Diff.</v>
      </c>
      <c r="AB61" s="52"/>
      <c r="AC61" s="53"/>
      <c r="AE61" s="52"/>
      <c r="AF61" s="53"/>
      <c r="AG61" s="1"/>
      <c r="AJ61" s="52"/>
      <c r="AK61" s="53"/>
      <c r="AL61" s="53"/>
      <c r="AN61" s="1"/>
      <c r="AO61" s="52"/>
      <c r="AP61" s="53"/>
      <c r="AQ61" s="61">
        <f>MATCH(1,AH62:AH65,0)</f>
        <v>1</v>
      </c>
      <c r="AR61" s="1"/>
      <c r="AS61" s="1"/>
      <c r="AV61" s="52"/>
      <c r="AW61" s="53"/>
      <c r="AX61" s="43"/>
      <c r="AY61" s="1"/>
      <c r="BZ61" s="1"/>
      <c r="CA61" s="1"/>
      <c r="CK61" s="1"/>
      <c r="CL61" s="1"/>
      <c r="CO61" s="1"/>
      <c r="CP61" s="1"/>
      <c r="CQ61" s="1"/>
      <c r="CR61" s="1"/>
      <c r="CS61" s="1"/>
      <c r="CW61" s="1"/>
      <c r="CX61" s="1"/>
      <c r="CY61" s="1"/>
      <c r="CZ61" s="1"/>
      <c r="DA61" s="1"/>
      <c r="DB61" s="1"/>
      <c r="DC61" s="1"/>
    </row>
    <row r="62" spans="1:107">
      <c r="A62" s="62" t="str">
        <f>Vorrunde!E65</f>
        <v>SV Münchnerau/Ghana</v>
      </c>
      <c r="B62" s="3">
        <f>IF(ISNUMBER(Vorrunde!H65),Vorrunde!H65,"")</f>
        <v>0</v>
      </c>
      <c r="C62" s="3">
        <f>IF(ISNUMBER(Vorrunde!J65),Vorrunde!J65,"")</f>
        <v>2</v>
      </c>
      <c r="D62" s="63" t="str">
        <f>Vorrunde!G65</f>
        <v>VfR Laberweinting/USA</v>
      </c>
      <c r="E62" s="42"/>
      <c r="G62" s="64" t="str">
        <f>Text!A59</f>
        <v>Kolumbien</v>
      </c>
      <c r="H62" s="65"/>
      <c r="I62" s="66">
        <f>B61</f>
        <v>2</v>
      </c>
      <c r="J62" s="66">
        <f>B63</f>
        <v>0</v>
      </c>
      <c r="K62" s="67">
        <f>C65</f>
        <v>1</v>
      </c>
      <c r="L62" s="42"/>
      <c r="N62" s="64" t="str">
        <f>Text!A59</f>
        <v>Kolumbien</v>
      </c>
      <c r="O62" s="65"/>
      <c r="P62" s="66">
        <f>IF(AND(ISNUMBER(I62),ISNUMBER(H63)),IF(I62&gt;H63,3,IF(I62=H63,1,0)),0)</f>
        <v>3</v>
      </c>
      <c r="Q62" s="66">
        <f>IF(AND(ISNUMBER(J62),ISNUMBER(H64)),IF(J62&gt;H64,3,IF(J62=H64,1,0)),0)</f>
        <v>1</v>
      </c>
      <c r="R62" s="67">
        <f>IF(AND(ISNUMBER(K62),ISNUMBER(H65)),IF(K62&gt;H65,3,IF(K62=H65,1,0)),0)</f>
        <v>0</v>
      </c>
      <c r="S62" s="42"/>
      <c r="U62" s="1">
        <v>1</v>
      </c>
      <c r="V62" s="68" t="str">
        <f>Text!B59</f>
        <v>SV Oberglaim/Kolumbien</v>
      </c>
      <c r="W62" s="69">
        <f>IF(COUNT(H62:K62)=COUNT(H62:H65),COUNT(H62:H65),"")</f>
        <v>3</v>
      </c>
      <c r="X62" s="66">
        <f>SUM(O62:R62)</f>
        <v>4</v>
      </c>
      <c r="Y62" s="66">
        <f>SUM(H62:K62)</f>
        <v>3</v>
      </c>
      <c r="Z62" s="66">
        <f>SUM(H62:H65)</f>
        <v>5</v>
      </c>
      <c r="AA62" s="67">
        <f>Y62-Z62</f>
        <v>-2</v>
      </c>
      <c r="AB62" s="42"/>
      <c r="AD62" s="70">
        <f>BB62</f>
        <v>2</v>
      </c>
      <c r="AE62" s="42"/>
      <c r="AG62" s="68">
        <f>X62*10000+AA62*100+Y62</f>
        <v>39803</v>
      </c>
      <c r="AH62" s="68">
        <f>COUNTIF(AG62:AG65,AG62)</f>
        <v>1</v>
      </c>
      <c r="AI62" s="68" t="str">
        <f>IF(AH62=1,"x","")</f>
        <v>x</v>
      </c>
      <c r="AJ62" s="42"/>
      <c r="AK62" s="3"/>
      <c r="AL62" s="68">
        <f>IF(AI62="x",1,IF(AG63=AG62,2,IF(AG64=AG62,3,4)))</f>
        <v>1</v>
      </c>
      <c r="AM62" s="68">
        <f>INDEX(O62:R62,1,AL62)</f>
        <v>0</v>
      </c>
      <c r="AN62" s="71">
        <f>IF(OR(AH66=2,AH66=4),AM62/10,0)</f>
        <v>0</v>
      </c>
      <c r="AO62" s="42"/>
      <c r="AP62" s="3"/>
      <c r="AQ62" s="3"/>
      <c r="AR62" s="69">
        <f>X62-INDEX(O62:R62,1,AQ61)</f>
        <v>4</v>
      </c>
      <c r="AS62" s="68">
        <f>AA62-(INDEX(H62:K62,1,AQ61)-INDEX(H62:H65,AQ61,1))</f>
        <v>-2</v>
      </c>
      <c r="AT62" s="69">
        <f>Y62-INDEX(H62:K62,1,AQ61)</f>
        <v>3</v>
      </c>
      <c r="AU62" s="71">
        <f>IF(OR(AH66&lt;&gt;3,AI62="x"),0,AR62/10+AS62/1000+AT62/100000)</f>
        <v>0</v>
      </c>
      <c r="AV62" s="42"/>
      <c r="AW62" s="3"/>
      <c r="AX62" s="71">
        <f>AG62+AN62+AU62</f>
        <v>39803</v>
      </c>
      <c r="AY62" s="69">
        <f>IF(INDEX(AX62:AX65,U62)&gt;=INDEX(AX62:AX65,U63),U62,U63)</f>
        <v>1</v>
      </c>
      <c r="AZ62" s="66">
        <f>IF(INDEX(AX62:AX65,AY62)&gt;=INDEX(AX62:AX65,AY64),AY62,AY64)</f>
        <v>4</v>
      </c>
      <c r="BA62" s="67">
        <f>IF(INDEX(AX62:AX65,AZ62)&gt;=INDEX(AX62:AX65,AZ65),AZ62,AZ65)</f>
        <v>4</v>
      </c>
      <c r="BB62" s="70">
        <f>MATCH(U62,BA62:BA65,0)</f>
        <v>2</v>
      </c>
      <c r="BC62" s="69">
        <f>COUNTIF(AX62:AX65,AX62)</f>
        <v>1</v>
      </c>
      <c r="BD62" s="67" t="str">
        <f>IF(BC62=1,"x","")</f>
        <v>x</v>
      </c>
      <c r="BE62" s="68">
        <f>(BD62="x")*BB62</f>
        <v>2</v>
      </c>
      <c r="BZ62" s="1"/>
      <c r="CA62" s="1"/>
      <c r="CK62" s="1"/>
      <c r="CL62" s="1"/>
      <c r="CO62" s="1"/>
      <c r="CP62" s="1"/>
      <c r="CQ62" s="1"/>
      <c r="CR62" s="1"/>
      <c r="CS62" s="1"/>
      <c r="CW62" s="1"/>
      <c r="CX62" s="1"/>
      <c r="CY62" s="1"/>
      <c r="CZ62" s="1"/>
      <c r="DA62" s="1"/>
      <c r="DB62" s="1"/>
      <c r="DC62" s="1"/>
    </row>
    <row r="63" spans="1:107">
      <c r="A63" s="62" t="str">
        <f>Vorrunde!E66</f>
        <v>SV Oberglaim/Kolumbien</v>
      </c>
      <c r="B63" s="3">
        <f>IF(ISNUMBER(Vorrunde!H66),Vorrunde!H66,"")</f>
        <v>0</v>
      </c>
      <c r="C63" s="3">
        <f>IF(ISNUMBER(Vorrunde!J66),Vorrunde!J66,"")</f>
        <v>0</v>
      </c>
      <c r="D63" s="63" t="str">
        <f>Vorrunde!G66</f>
        <v>SV Münchnerau/Ghana</v>
      </c>
      <c r="E63" s="42"/>
      <c r="G63" s="72" t="str">
        <f>Text!A60</f>
        <v>Deutschland</v>
      </c>
      <c r="H63" s="73">
        <f>C61</f>
        <v>1</v>
      </c>
      <c r="I63" s="74"/>
      <c r="J63" s="1">
        <f>B66</f>
        <v>1</v>
      </c>
      <c r="K63" s="75">
        <f>C64</f>
        <v>0</v>
      </c>
      <c r="L63" s="42"/>
      <c r="N63" s="72" t="str">
        <f>Text!A60</f>
        <v>Deutschland</v>
      </c>
      <c r="O63" s="73">
        <f>IF(AND(ISNUMBER(H63),ISNUMBER(I62)),IF(H63&gt;I62,3,IF(H63=I62,1,0)),0)</f>
        <v>0</v>
      </c>
      <c r="P63" s="74"/>
      <c r="Q63" s="1">
        <f>IF(AND(ISNUMBER(J63),ISNUMBER(I64)),IF(J63&gt;I64,3,IF(J63=I64,1,0)),0)</f>
        <v>1</v>
      </c>
      <c r="R63" s="75">
        <f>IF(AND(ISNUMBER(K63),ISNUMBER(I65)),IF(K63&gt;I65,3,IF(K63=I65,1,0)),0)</f>
        <v>0</v>
      </c>
      <c r="S63" s="42"/>
      <c r="U63" s="1">
        <v>2</v>
      </c>
      <c r="V63" s="76" t="str">
        <f>Text!B60</f>
        <v>SSV Pfeffenhausen/Deutschland</v>
      </c>
      <c r="W63" s="73">
        <f>IF(COUNT(H63:K63)=COUNT(I62:I65),COUNT(I62:I65),"")</f>
        <v>3</v>
      </c>
      <c r="X63" s="1">
        <f>SUM(O63:R63)</f>
        <v>1</v>
      </c>
      <c r="Y63" s="1">
        <f>SUM(H63:K63)</f>
        <v>2</v>
      </c>
      <c r="Z63" s="1">
        <f>SUM(I62:I65)</f>
        <v>9</v>
      </c>
      <c r="AA63" s="75">
        <f>Y63-Z63</f>
        <v>-7</v>
      </c>
      <c r="AB63" s="42"/>
      <c r="AD63" s="77">
        <f>BB63</f>
        <v>4</v>
      </c>
      <c r="AE63" s="42"/>
      <c r="AG63" s="76">
        <f>X63*10000+AA63*100+Y63</f>
        <v>9302</v>
      </c>
      <c r="AH63" s="76">
        <f>COUNTIF(AG62:AG65,AG63)</f>
        <v>1</v>
      </c>
      <c r="AI63" s="76" t="str">
        <f>IF(AH63=1,"x","")</f>
        <v>x</v>
      </c>
      <c r="AJ63" s="42"/>
      <c r="AK63" s="3"/>
      <c r="AL63" s="76">
        <f>IF(AI63="x",2,IF(AG64=AG63,3,IF(AG65=AG63,4,1)))</f>
        <v>2</v>
      </c>
      <c r="AM63" s="76">
        <f>INDEX(O63:R63,1,AL63)</f>
        <v>0</v>
      </c>
      <c r="AN63" s="78">
        <f>IF(OR(AH66=2,AH66=4),AM63/10,0)</f>
        <v>0</v>
      </c>
      <c r="AO63" s="42"/>
      <c r="AP63" s="3"/>
      <c r="AQ63" s="3"/>
      <c r="AR63" s="73">
        <f>X63-INDEX(O63:R63,1,AQ61)</f>
        <v>1</v>
      </c>
      <c r="AS63" s="76">
        <f>AA63-(INDEX(H63:K63,1,AQ61)-INDEX(I62:I65,AQ61))</f>
        <v>-6</v>
      </c>
      <c r="AT63" s="73">
        <f>Y63-INDEX(H63:K63,1,AQ61)</f>
        <v>1</v>
      </c>
      <c r="AU63" s="78">
        <f>IF(OR(AH66&lt;&gt;3,AI63="x"),0,AR63/10+AS63/1000+AT63/100000)</f>
        <v>0</v>
      </c>
      <c r="AV63" s="42"/>
      <c r="AW63" s="3"/>
      <c r="AX63" s="78">
        <f>AG63+AN63+AU63</f>
        <v>9302</v>
      </c>
      <c r="AY63" s="73">
        <f>IF(INDEX(AX62:AX65,U63)&lt;=INDEX(AX62:AX65,U62),U63,U62)</f>
        <v>2</v>
      </c>
      <c r="AZ63" s="1">
        <f>IF(INDEX(AX62:AX65,AY63)&gt;=INDEX(AX62:AX65,AY65),AY63,AY65)</f>
        <v>3</v>
      </c>
      <c r="BA63" s="75">
        <f>IF(INDEX(AX62:AX65,AZ63)&gt;=INDEX(AX62:AX65,AZ64),AZ63,AZ64)</f>
        <v>1</v>
      </c>
      <c r="BB63" s="77">
        <f>MATCH(U63,BA62:BA65,0)</f>
        <v>4</v>
      </c>
      <c r="BC63" s="73">
        <f>COUNTIF(AX62:AX65,AX63)</f>
        <v>1</v>
      </c>
      <c r="BD63" s="75" t="str">
        <f>IF(BC63=1,"x","")</f>
        <v>x</v>
      </c>
      <c r="BE63" s="76">
        <f>(BD63="x")*BB63</f>
        <v>4</v>
      </c>
      <c r="BZ63" s="1"/>
      <c r="CA63" s="1"/>
      <c r="CK63" s="1"/>
      <c r="CL63" s="1"/>
      <c r="CO63" s="1"/>
      <c r="CP63" s="1"/>
      <c r="CQ63" s="1"/>
      <c r="CR63" s="1"/>
      <c r="CS63" s="1"/>
      <c r="CW63" s="1"/>
      <c r="CX63" s="1"/>
      <c r="CY63" s="1"/>
      <c r="CZ63" s="1"/>
      <c r="DA63" s="1"/>
      <c r="DB63" s="1"/>
      <c r="DC63" s="1"/>
    </row>
    <row r="64" spans="1:107">
      <c r="A64" s="62" t="str">
        <f>Vorrunde!E67</f>
        <v>VfR Laberweinting/USA</v>
      </c>
      <c r="B64" s="3">
        <f>IF(ISNUMBER(Vorrunde!H67),Vorrunde!H67,"")</f>
        <v>6</v>
      </c>
      <c r="C64" s="3">
        <f>IF(ISNUMBER(Vorrunde!J67),Vorrunde!J67,"")</f>
        <v>0</v>
      </c>
      <c r="D64" s="63" t="str">
        <f>Vorrunde!G67</f>
        <v>SSV Pfeffenhausen/Deutschland</v>
      </c>
      <c r="E64" s="42"/>
      <c r="G64" s="72" t="str">
        <f>Text!A61</f>
        <v>Ghana</v>
      </c>
      <c r="H64" s="73">
        <f>C63</f>
        <v>0</v>
      </c>
      <c r="I64" s="1">
        <f>C66</f>
        <v>1</v>
      </c>
      <c r="J64" s="74"/>
      <c r="K64" s="75">
        <f>B62</f>
        <v>0</v>
      </c>
      <c r="L64" s="42"/>
      <c r="N64" s="72" t="str">
        <f>Text!A61</f>
        <v>Ghana</v>
      </c>
      <c r="O64" s="73">
        <f>IF(AND(ISNUMBER(H64),ISNUMBER(J62)),IF(H64&gt;J62,3,IF(H64=J62,1,0)),0)</f>
        <v>1</v>
      </c>
      <c r="P64" s="1">
        <f>IF(AND(ISNUMBER(I64),ISNUMBER(J63)),IF(I64&gt;J63,3,IF(I64=J63,1,0)),0)</f>
        <v>1</v>
      </c>
      <c r="Q64" s="74"/>
      <c r="R64" s="75">
        <f>IF(AND(ISNUMBER(K64),ISNUMBER(J65)),IF(K64&gt;J65,3,IF(K64=J65,1,0)),0)</f>
        <v>0</v>
      </c>
      <c r="S64" s="42"/>
      <c r="U64" s="1">
        <v>3</v>
      </c>
      <c r="V64" s="76" t="str">
        <f>Text!B61</f>
        <v>SV Münchnerau/Ghana</v>
      </c>
      <c r="W64" s="73">
        <f>IF(COUNT(H64:K64)=COUNT(J62:J65),COUNT(J62:J65),"")</f>
        <v>3</v>
      </c>
      <c r="X64" s="1">
        <f>SUM(O64:R64)</f>
        <v>2</v>
      </c>
      <c r="Y64" s="1">
        <f>SUM(H64:K64)</f>
        <v>1</v>
      </c>
      <c r="Z64" s="1">
        <f>SUM(J62:J65)</f>
        <v>3</v>
      </c>
      <c r="AA64" s="75">
        <f>Y64-Z64</f>
        <v>-2</v>
      </c>
      <c r="AB64" s="42"/>
      <c r="AD64" s="77">
        <f>BB64</f>
        <v>3</v>
      </c>
      <c r="AE64" s="42"/>
      <c r="AG64" s="76">
        <f>X64*10000+AA64*100+Y64</f>
        <v>19801</v>
      </c>
      <c r="AH64" s="76">
        <f>COUNTIF(AG62:AG65,AG64)</f>
        <v>1</v>
      </c>
      <c r="AI64" s="76" t="str">
        <f>IF(AH64=1,"x","")</f>
        <v>x</v>
      </c>
      <c r="AJ64" s="42"/>
      <c r="AK64" s="3"/>
      <c r="AL64" s="76">
        <f>IF(AI64="x",3,IF(AG65=AG64,4,IF(AG63=AG64,2,1)))</f>
        <v>3</v>
      </c>
      <c r="AM64" s="76">
        <f>INDEX(O64:R64,1,AL64)</f>
        <v>0</v>
      </c>
      <c r="AN64" s="78">
        <f>IF(OR(AH66=2,AH66=4),AM64/10,0)</f>
        <v>0</v>
      </c>
      <c r="AO64" s="42"/>
      <c r="AP64" s="3"/>
      <c r="AQ64" s="3"/>
      <c r="AR64" s="73">
        <f>X64-INDEX(O64:R64,1,AQ61)</f>
        <v>1</v>
      </c>
      <c r="AS64" s="76">
        <f>AA64-(INDEX(H64:K64,1,AQ61)-INDEX(J62:J65,AQ61))</f>
        <v>-2</v>
      </c>
      <c r="AT64" s="73">
        <f>Y64-INDEX(H64:K64,1,AQ61)</f>
        <v>1</v>
      </c>
      <c r="AU64" s="78">
        <f>IF(OR(AH66&lt;&gt;3,AI64="x"),0,AR64/10+AS64/1000+AT64/100000)</f>
        <v>0</v>
      </c>
      <c r="AV64" s="42"/>
      <c r="AW64" s="3"/>
      <c r="AX64" s="78">
        <f>AG64+AN64+AU64</f>
        <v>19801</v>
      </c>
      <c r="AY64" s="73">
        <f>IF(INDEX(AX62:AX65,U64)&gt;=INDEX(AX62:AX65,U65),U64,U65)</f>
        <v>4</v>
      </c>
      <c r="AZ64" s="1">
        <f>IF(INDEX(AX62:AX65,AY64)&lt;=INDEX(AX62:AX65,AY62),AY64,AY62)</f>
        <v>1</v>
      </c>
      <c r="BA64" s="75">
        <f>IF(INDEX(AX62:AX65,AZ64)&lt;=INDEX(AX62:AX65,AZ63),AZ64,AZ63)</f>
        <v>3</v>
      </c>
      <c r="BB64" s="77">
        <f>MATCH(U64,BA62:BA65,0)</f>
        <v>3</v>
      </c>
      <c r="BC64" s="73">
        <f>COUNTIF(AX62:AX65,AX64)</f>
        <v>1</v>
      </c>
      <c r="BD64" s="75" t="str">
        <f>IF(BC64=1,"x","")</f>
        <v>x</v>
      </c>
      <c r="BE64" s="76">
        <f>(BD64="x")*BB64</f>
        <v>3</v>
      </c>
      <c r="BZ64" s="1"/>
      <c r="CA64" s="1"/>
      <c r="CK64" s="1"/>
      <c r="CL64" s="1"/>
      <c r="CO64" s="1"/>
      <c r="CP64" s="1"/>
      <c r="CQ64" s="1"/>
      <c r="CR64" s="1"/>
      <c r="CS64" s="1"/>
      <c r="CW64" s="1"/>
      <c r="CX64" s="1"/>
      <c r="CY64" s="1"/>
      <c r="CZ64" s="1"/>
      <c r="DA64" s="1"/>
      <c r="DB64" s="1"/>
      <c r="DC64" s="1"/>
    </row>
    <row r="65" spans="1:107">
      <c r="A65" s="62" t="str">
        <f>Vorrunde!E68</f>
        <v>VfR Laberweinting/USA</v>
      </c>
      <c r="B65" s="3">
        <f>IF(ISNUMBER(Vorrunde!H68),Vorrunde!H68,"")</f>
        <v>4</v>
      </c>
      <c r="C65" s="3">
        <f>IF(ISNUMBER(Vorrunde!J68),Vorrunde!J68,"")</f>
        <v>1</v>
      </c>
      <c r="D65" s="63" t="str">
        <f>Vorrunde!G68</f>
        <v>SV Oberglaim/Kolumbien</v>
      </c>
      <c r="E65" s="79"/>
      <c r="F65" s="1"/>
      <c r="G65" s="80" t="str">
        <f>Text!A62</f>
        <v>USA</v>
      </c>
      <c r="H65" s="81">
        <f>B65</f>
        <v>4</v>
      </c>
      <c r="I65" s="82">
        <f>B64</f>
        <v>6</v>
      </c>
      <c r="J65" s="82">
        <f>C62</f>
        <v>2</v>
      </c>
      <c r="K65" s="83"/>
      <c r="L65" s="79"/>
      <c r="M65" s="1"/>
      <c r="N65" s="80" t="str">
        <f>Text!A62</f>
        <v>USA</v>
      </c>
      <c r="O65" s="81">
        <f>IF(AND(ISNUMBER(H65),ISNUMBER(K62)),IF(H65&gt;K62,3,IF(H65=K62,1,0)),0)</f>
        <v>3</v>
      </c>
      <c r="P65" s="82">
        <f>IF(AND(ISNUMBER(I65),ISNUMBER(K63)),IF(I65&gt;K63,3,IF(I65=K63,1,0)),0)</f>
        <v>3</v>
      </c>
      <c r="Q65" s="82">
        <f>IF(AND(ISNUMBER(J65),ISNUMBER(K64)),IF(J65&gt;K64,3,IF(J65=K64,1,0)),0)</f>
        <v>3</v>
      </c>
      <c r="R65" s="83"/>
      <c r="S65" s="79"/>
      <c r="T65" s="1"/>
      <c r="U65" s="1">
        <v>4</v>
      </c>
      <c r="V65" s="84" t="str">
        <f>Text!B62</f>
        <v>VfR Laberweinting/USA</v>
      </c>
      <c r="W65" s="81">
        <f>IF(COUNT(H65:K65)=COUNT(K62:K65),COUNT(K62:K65),"")</f>
        <v>3</v>
      </c>
      <c r="X65" s="82">
        <f>SUM(O65:R65)</f>
        <v>9</v>
      </c>
      <c r="Y65" s="82">
        <f>SUM(H65:K65)</f>
        <v>12</v>
      </c>
      <c r="Z65" s="82">
        <f>SUM(K62:K65)</f>
        <v>1</v>
      </c>
      <c r="AA65" s="85">
        <f>Y65-Z65</f>
        <v>11</v>
      </c>
      <c r="AB65" s="79"/>
      <c r="AC65" s="1"/>
      <c r="AD65" s="86">
        <f>BB65</f>
        <v>1</v>
      </c>
      <c r="AE65" s="79"/>
      <c r="AF65" s="1"/>
      <c r="AG65" s="84">
        <f>X65*10000+AA65*100+Y65</f>
        <v>91112</v>
      </c>
      <c r="AH65" s="84">
        <f>COUNTIF(AG62:AG65,AG65)</f>
        <v>1</v>
      </c>
      <c r="AI65" s="84" t="str">
        <f>IF(AH65=1,"x","")</f>
        <v>x</v>
      </c>
      <c r="AJ65" s="79"/>
      <c r="AL65" s="84">
        <f>IF(AI65="x",4,IF(AG62=AG65,1,IF(AG63=AG65,2,3)))</f>
        <v>4</v>
      </c>
      <c r="AM65" s="84">
        <f>INDEX(O65:R65,1,AL65)</f>
        <v>0</v>
      </c>
      <c r="AN65" s="87">
        <f>IF(OR(AH66=2,AH66=4),AM65/10,0)</f>
        <v>0</v>
      </c>
      <c r="AO65" s="79"/>
      <c r="AR65" s="81">
        <f>X65-INDEX(O65:R65,1,AQ61)</f>
        <v>6</v>
      </c>
      <c r="AS65" s="84">
        <f>AA65-(INDEX(H65:K65,1,AQ61)-INDEX(K62:K65,AQ61))</f>
        <v>8</v>
      </c>
      <c r="AT65" s="81">
        <f>Y65-INDEX(H65:K65,1,AQ61)</f>
        <v>8</v>
      </c>
      <c r="AU65" s="87">
        <f>IF(OR(AH66&lt;&gt;3,AI65="x"),0,AR65/10+AS65/1000+AT65/100000)</f>
        <v>0</v>
      </c>
      <c r="AV65" s="79"/>
      <c r="AX65" s="87">
        <f>AG65+AN65+AU65</f>
        <v>91112</v>
      </c>
      <c r="AY65" s="81">
        <f>IF(INDEX(AX62:AX65,U65)&lt;=INDEX(AX62:AX65,U64),U65,U64)</f>
        <v>3</v>
      </c>
      <c r="AZ65" s="82">
        <f>IF(INDEX(AX62:AX65,AY65)&lt;=INDEX(AX62:AX65,AY63),AY65,AY63)</f>
        <v>2</v>
      </c>
      <c r="BA65" s="85">
        <f>IF(INDEX(AX62:AX65,AZ65)&lt;=INDEX(AX62:AX65,AZ62),AZ65,AZ62)</f>
        <v>2</v>
      </c>
      <c r="BB65" s="86">
        <f>MATCH(U65,BA62:BA65,0)</f>
        <v>1</v>
      </c>
      <c r="BC65" s="81">
        <f>COUNTIF(AX62:AX65,AX65)</f>
        <v>1</v>
      </c>
      <c r="BD65" s="85" t="str">
        <f>IF(BC65=1,"x","")</f>
        <v>x</v>
      </c>
      <c r="BE65" s="76">
        <f>(BD65="x")*BB65</f>
        <v>1</v>
      </c>
      <c r="BZ65" s="1"/>
      <c r="CA65" s="1"/>
      <c r="CK65" s="1"/>
      <c r="CL65" s="1"/>
      <c r="CO65" s="1"/>
      <c r="CP65" s="1"/>
      <c r="CQ65" s="1"/>
      <c r="CR65" s="1"/>
      <c r="CS65" s="1"/>
      <c r="CW65" s="1"/>
      <c r="CX65" s="1"/>
      <c r="CY65" s="1"/>
      <c r="CZ65" s="1"/>
      <c r="DA65" s="1"/>
      <c r="DB65" s="1"/>
      <c r="DC65" s="1"/>
    </row>
    <row r="66" spans="1:107">
      <c r="A66" s="88" t="str">
        <f>Vorrunde!E69</f>
        <v>SSV Pfeffenhausen/Deutschland</v>
      </c>
      <c r="B66" s="89">
        <f>IF(ISNUMBER(Vorrunde!H69),Vorrunde!H69,"")</f>
        <v>1</v>
      </c>
      <c r="C66" s="89">
        <f>IF(ISNUMBER(Vorrunde!J69),Vorrunde!J69,"")</f>
        <v>1</v>
      </c>
      <c r="D66" s="90" t="str">
        <f>Vorrunde!G69</f>
        <v>SV Münchnerau/Ghana</v>
      </c>
      <c r="E66" s="42"/>
      <c r="L66" s="42"/>
      <c r="S66" s="42"/>
      <c r="V66" s="4" t="s">
        <v>83</v>
      </c>
      <c r="W66" s="1" t="b">
        <f>SUM(W62:W65)=12</f>
        <v>1</v>
      </c>
      <c r="AB66" s="42"/>
      <c r="AD66" s="86" t="str">
        <f>BF66</f>
        <v>Eindeutige Platzierung</v>
      </c>
      <c r="AE66" s="42"/>
      <c r="AG66" s="91" t="s">
        <v>84</v>
      </c>
      <c r="AH66" s="92">
        <f>MOD(MIN(AH62:AH65)*MAX(AH62:AH65),11)</f>
        <v>1</v>
      </c>
      <c r="AJ66" s="42"/>
      <c r="AK66" s="3"/>
      <c r="AL66" s="3"/>
      <c r="AN66" s="1"/>
      <c r="AO66" s="42"/>
      <c r="AP66" s="3"/>
      <c r="AQ66" s="3"/>
      <c r="AR66" s="1"/>
      <c r="AS66" s="1"/>
      <c r="AV66" s="42"/>
      <c r="AW66" s="3"/>
      <c r="AX66" s="1"/>
      <c r="AY66" s="1"/>
      <c r="BD66" s="93">
        <f>COUNTIF(BD62:BD65,"x")</f>
        <v>4</v>
      </c>
      <c r="BE66" s="92">
        <f>SUM(BE62:BE65)</f>
        <v>10</v>
      </c>
      <c r="BF66" s="92" t="str">
        <f>IF(W66,IF(BD66&gt;=3,Text!B$71,IF(AND(BD66=2,BE66=3),Text!B$72,Text!B$73)),"")</f>
        <v>Eindeutige Platzierung</v>
      </c>
      <c r="BZ66" s="1"/>
      <c r="CA66" s="1"/>
      <c r="CK66" s="1"/>
      <c r="CL66" s="1"/>
      <c r="CO66" s="1"/>
      <c r="CP66" s="1"/>
      <c r="CQ66" s="1"/>
      <c r="CR66" s="1"/>
      <c r="CS66" s="1"/>
      <c r="CW66" s="1"/>
      <c r="CX66" s="1"/>
      <c r="CY66" s="1"/>
      <c r="CZ66" s="1"/>
      <c r="DA66" s="1"/>
      <c r="DB66" s="1"/>
      <c r="DC66" s="1"/>
    </row>
    <row r="67" spans="1:107">
      <c r="A67" s="7"/>
      <c r="E67" s="42"/>
      <c r="L67" s="42"/>
      <c r="S67" s="42"/>
      <c r="AB67" s="42"/>
      <c r="AE67" s="42"/>
      <c r="AG67" s="43"/>
      <c r="AH67" s="43"/>
      <c r="AJ67" s="42"/>
      <c r="AK67" s="3"/>
      <c r="AL67" s="43"/>
      <c r="AM67" s="43"/>
      <c r="AN67" s="43"/>
      <c r="AO67" s="42"/>
      <c r="AP67" s="3"/>
      <c r="AQ67" s="43"/>
      <c r="AR67" s="166"/>
      <c r="AS67" s="166"/>
      <c r="AT67" s="166"/>
      <c r="AU67" s="43"/>
      <c r="AV67" s="42"/>
      <c r="AW67" s="3"/>
      <c r="AX67" s="1"/>
      <c r="AY67" s="165"/>
      <c r="AZ67" s="165"/>
      <c r="BA67" s="165"/>
      <c r="BB67" s="7"/>
      <c r="BC67" s="166"/>
      <c r="BD67" s="166"/>
      <c r="BE67" s="166"/>
      <c r="BZ67" s="1"/>
      <c r="CA67" s="1"/>
      <c r="CK67" s="1"/>
      <c r="CL67" s="1"/>
      <c r="CO67" s="1"/>
      <c r="CP67" s="1"/>
      <c r="CQ67" s="1"/>
      <c r="CR67" s="1"/>
      <c r="CS67" s="1"/>
      <c r="CW67" s="1"/>
      <c r="CX67" s="1"/>
      <c r="CY67" s="1"/>
      <c r="CZ67" s="1"/>
      <c r="DA67" s="1"/>
      <c r="DB67" s="1"/>
      <c r="DC67" s="1"/>
    </row>
  </sheetData>
  <sheetProtection sheet="1" objects="1" scenarios="1"/>
  <mergeCells count="55">
    <mergeCell ref="AR67:AT67"/>
    <mergeCell ref="AY67:BA67"/>
    <mergeCell ref="BC67:BE67"/>
    <mergeCell ref="AR59:AT59"/>
    <mergeCell ref="AY59:BA59"/>
    <mergeCell ref="BC59:BE59"/>
    <mergeCell ref="AR60:AT60"/>
    <mergeCell ref="AY60:BA60"/>
    <mergeCell ref="BC60:BE60"/>
    <mergeCell ref="AR51:AT51"/>
    <mergeCell ref="AY51:BA51"/>
    <mergeCell ref="BC51:BE51"/>
    <mergeCell ref="AR52:AT52"/>
    <mergeCell ref="AY52:BA52"/>
    <mergeCell ref="BC52:BE52"/>
    <mergeCell ref="AR43:AT43"/>
    <mergeCell ref="AY43:BA43"/>
    <mergeCell ref="BC43:BE43"/>
    <mergeCell ref="AR44:AT44"/>
    <mergeCell ref="AY44:BA44"/>
    <mergeCell ref="BC44:BE44"/>
    <mergeCell ref="AR35:AT35"/>
    <mergeCell ref="AY35:BA35"/>
    <mergeCell ref="BC35:BE35"/>
    <mergeCell ref="AR36:AT36"/>
    <mergeCell ref="AY36:BA36"/>
    <mergeCell ref="BC36:BE36"/>
    <mergeCell ref="AY27:BA27"/>
    <mergeCell ref="BC27:BE27"/>
    <mergeCell ref="AR28:AT28"/>
    <mergeCell ref="AY28:BA28"/>
    <mergeCell ref="BC28:BE28"/>
    <mergeCell ref="AR27:AT27"/>
    <mergeCell ref="AR19:AT19"/>
    <mergeCell ref="AY19:BA19"/>
    <mergeCell ref="BC19:BE19"/>
    <mergeCell ref="AR20:AT20"/>
    <mergeCell ref="AY20:BA20"/>
    <mergeCell ref="BC20:BE20"/>
    <mergeCell ref="A1:D1"/>
    <mergeCell ref="G1:K1"/>
    <mergeCell ref="N1:R1"/>
    <mergeCell ref="AR12:AT12"/>
    <mergeCell ref="AR3:AT3"/>
    <mergeCell ref="AL1:AN1"/>
    <mergeCell ref="AY3:BA3"/>
    <mergeCell ref="BC3:BE3"/>
    <mergeCell ref="AR4:AT4"/>
    <mergeCell ref="AY4:BA4"/>
    <mergeCell ref="BC4:BE4"/>
    <mergeCell ref="AY12:BA12"/>
    <mergeCell ref="BC12:BE12"/>
    <mergeCell ref="AR11:AT11"/>
    <mergeCell ref="AY11:BA11"/>
    <mergeCell ref="BC11:BE11"/>
  </mergeCells>
  <phoneticPr fontId="0" type="noConversion"/>
  <conditionalFormatting sqref="BF10:BG10 BF18:BG18 BF26:BG26 BF34:BG34 BF42:BG42 BF50:BG50 BF58:BG58 BF66:BG66">
    <cfRule type="expression" dxfId="0" priority="1" stopIfTrue="1">
      <formula>OR(#REF!=1,#REF!=4)</formula>
    </cfRule>
  </conditionalFormatting>
  <pageMargins left="0.78740157499999996" right="0.78740157499999996" top="0.984251969" bottom="0.984251969" header="0.4921259845" footer="0.4921259845"/>
  <pageSetup paperSize="9" fitToWidth="0" orientation="landscape" r:id="rId1"/>
  <headerFooter alignWithMargins="0"/>
  <cellWatches>
    <cellWatch r="AE10"/>
  </cellWatche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9"/>
  </sheetPr>
  <dimension ref="A1:B103"/>
  <sheetViews>
    <sheetView workbookViewId="0">
      <selection activeCell="B62" sqref="B62"/>
    </sheetView>
  </sheetViews>
  <sheetFormatPr baseColWidth="10" defaultColWidth="11.44140625" defaultRowHeight="10.199999999999999"/>
  <cols>
    <col min="1" max="1" width="11.44140625" style="2"/>
    <col min="2" max="2" width="66.5546875" style="2" bestFit="1" customWidth="1"/>
    <col min="3" max="16384" width="11.44140625" style="6"/>
  </cols>
  <sheetData>
    <row r="1" spans="1:2">
      <c r="A1" s="6" t="s">
        <v>85</v>
      </c>
      <c r="B1" s="6" t="s">
        <v>86</v>
      </c>
    </row>
    <row r="2" spans="1:2">
      <c r="A2" s="2" t="s">
        <v>87</v>
      </c>
      <c r="B2" s="2" t="s">
        <v>88</v>
      </c>
    </row>
    <row r="3" spans="1:2">
      <c r="A3" s="2" t="s">
        <v>89</v>
      </c>
      <c r="B3" s="2" t="s">
        <v>90</v>
      </c>
    </row>
    <row r="4" spans="1:2">
      <c r="A4" s="2" t="s">
        <v>91</v>
      </c>
      <c r="B4" s="2" t="s">
        <v>92</v>
      </c>
    </row>
    <row r="5" spans="1:2">
      <c r="A5" s="2" t="s">
        <v>93</v>
      </c>
      <c r="B5" s="2" t="s">
        <v>94</v>
      </c>
    </row>
    <row r="6" spans="1:2">
      <c r="A6" s="2" t="s">
        <v>95</v>
      </c>
      <c r="B6" s="2" t="s">
        <v>96</v>
      </c>
    </row>
    <row r="10" spans="1:2">
      <c r="A10" s="2" t="s">
        <v>97</v>
      </c>
      <c r="B10" s="2" t="s">
        <v>98</v>
      </c>
    </row>
    <row r="11" spans="1:2">
      <c r="A11" s="2" t="s">
        <v>99</v>
      </c>
      <c r="B11" s="2" t="s">
        <v>100</v>
      </c>
    </row>
    <row r="12" spans="1:2">
      <c r="A12" s="2" t="s">
        <v>101</v>
      </c>
      <c r="B12" s="2" t="s">
        <v>102</v>
      </c>
    </row>
    <row r="13" spans="1:2">
      <c r="A13" s="2" t="s">
        <v>103</v>
      </c>
      <c r="B13" s="2" t="s">
        <v>104</v>
      </c>
    </row>
    <row r="14" spans="1:2">
      <c r="A14" s="2" t="s">
        <v>105</v>
      </c>
      <c r="B14" s="2" t="s">
        <v>106</v>
      </c>
    </row>
    <row r="18" spans="1:2">
      <c r="A18" s="2" t="s">
        <v>107</v>
      </c>
      <c r="B18" s="2" t="s">
        <v>108</v>
      </c>
    </row>
    <row r="19" spans="1:2">
      <c r="A19" s="2" t="s">
        <v>109</v>
      </c>
      <c r="B19" s="2" t="s">
        <v>110</v>
      </c>
    </row>
    <row r="20" spans="1:2">
      <c r="A20" s="2" t="s">
        <v>111</v>
      </c>
      <c r="B20" s="2" t="s">
        <v>112</v>
      </c>
    </row>
    <row r="21" spans="1:2">
      <c r="A21" s="2" t="s">
        <v>113</v>
      </c>
      <c r="B21" s="2" t="s">
        <v>114</v>
      </c>
    </row>
    <row r="22" spans="1:2">
      <c r="A22" s="2" t="s">
        <v>115</v>
      </c>
      <c r="B22" s="2" t="s">
        <v>116</v>
      </c>
    </row>
    <row r="26" spans="1:2">
      <c r="A26" s="2" t="s">
        <v>117</v>
      </c>
      <c r="B26" s="2" t="s">
        <v>118</v>
      </c>
    </row>
    <row r="27" spans="1:2">
      <c r="A27" s="2" t="s">
        <v>119</v>
      </c>
      <c r="B27" s="2" t="s">
        <v>120</v>
      </c>
    </row>
    <row r="28" spans="1:2">
      <c r="A28" s="2" t="s">
        <v>121</v>
      </c>
      <c r="B28" s="2" t="s">
        <v>122</v>
      </c>
    </row>
    <row r="29" spans="1:2">
      <c r="A29" s="2" t="s">
        <v>123</v>
      </c>
      <c r="B29" s="2" t="s">
        <v>124</v>
      </c>
    </row>
    <row r="30" spans="1:2">
      <c r="A30" s="2" t="s">
        <v>125</v>
      </c>
      <c r="B30" s="2" t="s">
        <v>126</v>
      </c>
    </row>
    <row r="34" spans="1:2">
      <c r="A34" s="2" t="s">
        <v>127</v>
      </c>
      <c r="B34" s="2" t="s">
        <v>128</v>
      </c>
    </row>
    <row r="35" spans="1:2">
      <c r="A35" s="2" t="s">
        <v>129</v>
      </c>
      <c r="B35" s="2" t="s">
        <v>130</v>
      </c>
    </row>
    <row r="36" spans="1:2">
      <c r="A36" s="2" t="s">
        <v>131</v>
      </c>
      <c r="B36" s="2" t="s">
        <v>132</v>
      </c>
    </row>
    <row r="37" spans="1:2">
      <c r="A37" s="2" t="s">
        <v>133</v>
      </c>
      <c r="B37" s="2" t="s">
        <v>134</v>
      </c>
    </row>
    <row r="38" spans="1:2">
      <c r="A38" s="2" t="s">
        <v>135</v>
      </c>
      <c r="B38" s="2" t="s">
        <v>136</v>
      </c>
    </row>
    <row r="42" spans="1:2">
      <c r="A42" s="2" t="s">
        <v>137</v>
      </c>
      <c r="B42" s="2" t="s">
        <v>138</v>
      </c>
    </row>
    <row r="43" spans="1:2">
      <c r="A43" s="2" t="s">
        <v>139</v>
      </c>
      <c r="B43" s="2" t="s">
        <v>140</v>
      </c>
    </row>
    <row r="44" spans="1:2">
      <c r="A44" s="2" t="s">
        <v>141</v>
      </c>
      <c r="B44" s="2" t="s">
        <v>142</v>
      </c>
    </row>
    <row r="45" spans="1:2">
      <c r="A45" s="2" t="s">
        <v>143</v>
      </c>
      <c r="B45" s="2" t="s">
        <v>144</v>
      </c>
    </row>
    <row r="46" spans="1:2">
      <c r="A46" s="2" t="s">
        <v>145</v>
      </c>
      <c r="B46" s="2" t="s">
        <v>146</v>
      </c>
    </row>
    <row r="50" spans="1:2">
      <c r="A50" s="2" t="s">
        <v>147</v>
      </c>
      <c r="B50" s="2" t="s">
        <v>148</v>
      </c>
    </row>
    <row r="51" spans="1:2">
      <c r="A51" s="2" t="s">
        <v>149</v>
      </c>
      <c r="B51" s="2" t="s">
        <v>150</v>
      </c>
    </row>
    <row r="52" spans="1:2">
      <c r="A52" s="2" t="s">
        <v>151</v>
      </c>
      <c r="B52" s="2" t="s">
        <v>152</v>
      </c>
    </row>
    <row r="53" spans="1:2">
      <c r="A53" s="2" t="s">
        <v>153</v>
      </c>
      <c r="B53" s="2" t="s">
        <v>154</v>
      </c>
    </row>
    <row r="54" spans="1:2">
      <c r="A54" s="2" t="s">
        <v>155</v>
      </c>
      <c r="B54" s="2" t="s">
        <v>156</v>
      </c>
    </row>
    <row r="58" spans="1:2">
      <c r="A58" s="2" t="s">
        <v>157</v>
      </c>
      <c r="B58" s="2" t="s">
        <v>158</v>
      </c>
    </row>
    <row r="59" spans="1:2">
      <c r="A59" s="2" t="s">
        <v>159</v>
      </c>
      <c r="B59" s="2" t="s">
        <v>160</v>
      </c>
    </row>
    <row r="60" spans="1:2">
      <c r="A60" s="2" t="s">
        <v>161</v>
      </c>
      <c r="B60" s="2" t="s">
        <v>162</v>
      </c>
    </row>
    <row r="61" spans="1:2">
      <c r="A61" s="2" t="s">
        <v>163</v>
      </c>
      <c r="B61" s="2" t="s">
        <v>164</v>
      </c>
    </row>
    <row r="62" spans="1:2">
      <c r="A62" s="2" t="s">
        <v>165</v>
      </c>
      <c r="B62" s="2" t="s">
        <v>166</v>
      </c>
    </row>
    <row r="64" spans="1:2">
      <c r="A64" s="2" t="s">
        <v>167</v>
      </c>
      <c r="B64" s="2" t="s">
        <v>168</v>
      </c>
    </row>
    <row r="65" spans="1:2">
      <c r="A65" s="2" t="s">
        <v>169</v>
      </c>
      <c r="B65" s="2" t="s">
        <v>64</v>
      </c>
    </row>
    <row r="66" spans="1:2">
      <c r="A66" s="2" t="s">
        <v>170</v>
      </c>
      <c r="B66" s="2" t="s">
        <v>71</v>
      </c>
    </row>
    <row r="67" spans="1:2">
      <c r="A67" s="2" t="s">
        <v>171</v>
      </c>
      <c r="B67" s="2" t="s">
        <v>172</v>
      </c>
    </row>
    <row r="68" spans="1:2">
      <c r="A68" s="2" t="s">
        <v>173</v>
      </c>
      <c r="B68" s="2" t="s">
        <v>174</v>
      </c>
    </row>
    <row r="69" spans="1:2">
      <c r="A69" s="2" t="s">
        <v>63</v>
      </c>
      <c r="B69" s="2" t="s">
        <v>63</v>
      </c>
    </row>
    <row r="71" spans="1:2">
      <c r="B71" s="2" t="s">
        <v>175</v>
      </c>
    </row>
    <row r="72" spans="1:2">
      <c r="B72" s="2" t="s">
        <v>176</v>
      </c>
    </row>
    <row r="73" spans="1:2">
      <c r="B73" s="2" t="s">
        <v>177</v>
      </c>
    </row>
    <row r="74" spans="1:2">
      <c r="B74" s="2" t="s">
        <v>178</v>
      </c>
    </row>
    <row r="75" spans="1:2">
      <c r="B75" s="2" t="s">
        <v>179</v>
      </c>
    </row>
    <row r="76" spans="1:2">
      <c r="B76" s="2" t="s">
        <v>180</v>
      </c>
    </row>
    <row r="77" spans="1:2">
      <c r="B77" s="2" t="s">
        <v>181</v>
      </c>
    </row>
    <row r="78" spans="1:2">
      <c r="B78" s="2" t="s">
        <v>182</v>
      </c>
    </row>
    <row r="79" spans="1:2">
      <c r="B79" s="2" t="s">
        <v>183</v>
      </c>
    </row>
    <row r="80" spans="1:2">
      <c r="B80" s="2" t="s">
        <v>184</v>
      </c>
    </row>
    <row r="81" spans="2:2">
      <c r="B81" s="2" t="s">
        <v>185</v>
      </c>
    </row>
    <row r="82" spans="2:2">
      <c r="B82" s="2" t="s">
        <v>186</v>
      </c>
    </row>
    <row r="83" spans="2:2">
      <c r="B83" s="2" t="s">
        <v>187</v>
      </c>
    </row>
    <row r="84" spans="2:2">
      <c r="B84" s="2" t="s">
        <v>188</v>
      </c>
    </row>
    <row r="85" spans="2:2">
      <c r="B85" s="2" t="s">
        <v>189</v>
      </c>
    </row>
    <row r="86" spans="2:2">
      <c r="B86" s="2" t="s">
        <v>190</v>
      </c>
    </row>
    <row r="87" spans="2:2">
      <c r="B87" s="2" t="s">
        <v>191</v>
      </c>
    </row>
    <row r="88" spans="2:2">
      <c r="B88" s="2" t="s">
        <v>192</v>
      </c>
    </row>
    <row r="89" spans="2:2">
      <c r="B89" s="2" t="s">
        <v>193</v>
      </c>
    </row>
    <row r="102" spans="2:2">
      <c r="B102" s="2" t="s">
        <v>194</v>
      </c>
    </row>
    <row r="103" spans="2:2">
      <c r="B103" s="2" t="s">
        <v>195</v>
      </c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9"/>
  </sheetPr>
  <dimension ref="A2:K16"/>
  <sheetViews>
    <sheetView workbookViewId="0">
      <selection activeCell="I9" sqref="I9"/>
    </sheetView>
  </sheetViews>
  <sheetFormatPr baseColWidth="10" defaultColWidth="11.44140625" defaultRowHeight="13.2"/>
  <cols>
    <col min="1" max="1" width="18.88671875" style="110" customWidth="1"/>
    <col min="2" max="2" width="15.5546875" style="110" customWidth="1"/>
    <col min="3" max="3" width="13.6640625" style="110" customWidth="1"/>
    <col min="4" max="5" width="11.44140625" style="110"/>
    <col min="6" max="6" width="11.44140625" style="112"/>
    <col min="7" max="7" width="3.44140625" style="110" customWidth="1"/>
    <col min="8" max="8" width="11.44140625" style="110"/>
    <col min="9" max="9" width="12.44140625" style="112" bestFit="1" customWidth="1"/>
    <col min="10" max="10" width="22.5546875" style="110" customWidth="1"/>
    <col min="11" max="11" width="21.33203125" style="110" customWidth="1"/>
    <col min="12" max="16384" width="11.44140625" style="110"/>
  </cols>
  <sheetData>
    <row r="2" spans="1:11" ht="26.4">
      <c r="A2" s="174" t="s">
        <v>196</v>
      </c>
      <c r="B2" s="175"/>
      <c r="C2" s="175"/>
      <c r="D2" s="175"/>
      <c r="E2" s="176"/>
      <c r="F2" s="114" t="s">
        <v>197</v>
      </c>
      <c r="H2" s="121"/>
      <c r="I2" s="119" t="s">
        <v>198</v>
      </c>
      <c r="J2" s="120" t="s">
        <v>199</v>
      </c>
      <c r="K2" s="120"/>
    </row>
    <row r="3" spans="1:11">
      <c r="A3" s="113" t="s">
        <v>200</v>
      </c>
      <c r="B3" s="113"/>
      <c r="C3" s="113" t="s">
        <v>201</v>
      </c>
      <c r="D3" s="113"/>
      <c r="E3" s="113"/>
      <c r="F3" s="139" t="s">
        <v>202</v>
      </c>
      <c r="H3" s="122" t="s">
        <v>203</v>
      </c>
      <c r="I3" s="139">
        <v>4</v>
      </c>
      <c r="J3" s="113" t="s">
        <v>204</v>
      </c>
      <c r="K3" s="113"/>
    </row>
    <row r="6" spans="1:11" ht="38.25" customHeight="1">
      <c r="H6" s="121"/>
      <c r="I6" s="119" t="s">
        <v>198</v>
      </c>
      <c r="J6" s="177" t="s">
        <v>205</v>
      </c>
      <c r="K6" s="177"/>
    </row>
    <row r="7" spans="1:11">
      <c r="H7" s="122" t="s">
        <v>206</v>
      </c>
      <c r="I7" s="139">
        <v>3</v>
      </c>
      <c r="J7" s="178" t="s">
        <v>207</v>
      </c>
      <c r="K7" s="178"/>
    </row>
    <row r="9" spans="1:11">
      <c r="A9" s="174" t="s">
        <v>208</v>
      </c>
      <c r="B9" s="175"/>
      <c r="C9" s="175"/>
      <c r="D9" s="175"/>
      <c r="E9" s="176"/>
      <c r="F9" s="114" t="s">
        <v>197</v>
      </c>
    </row>
    <row r="10" spans="1:11">
      <c r="A10" s="113" t="s">
        <v>209</v>
      </c>
      <c r="B10" s="113"/>
      <c r="C10" s="113" t="s">
        <v>210</v>
      </c>
      <c r="D10" s="113"/>
      <c r="E10" s="113"/>
      <c r="F10" s="139" t="s">
        <v>202</v>
      </c>
    </row>
    <row r="11" spans="1:11">
      <c r="C11" s="110" t="s">
        <v>211</v>
      </c>
    </row>
    <row r="14" spans="1:11">
      <c r="A14" s="174" t="s">
        <v>212</v>
      </c>
      <c r="B14" s="175"/>
      <c r="C14" s="175"/>
      <c r="D14" s="175"/>
      <c r="E14" s="176"/>
      <c r="F14" s="114" t="s">
        <v>197</v>
      </c>
    </row>
    <row r="15" spans="1:11">
      <c r="A15" s="113"/>
      <c r="B15" s="171"/>
      <c r="C15" s="172"/>
      <c r="D15" s="172"/>
      <c r="E15" s="173"/>
      <c r="F15" s="139" t="s">
        <v>213</v>
      </c>
    </row>
    <row r="16" spans="1:11">
      <c r="A16" s="113"/>
      <c r="B16" s="113" t="s">
        <v>214</v>
      </c>
      <c r="C16" s="113"/>
      <c r="D16" s="113"/>
      <c r="E16" s="113"/>
      <c r="F16" s="139"/>
    </row>
  </sheetData>
  <mergeCells count="6">
    <mergeCell ref="B15:E15"/>
    <mergeCell ref="A2:E2"/>
    <mergeCell ref="A9:E9"/>
    <mergeCell ref="J6:K6"/>
    <mergeCell ref="J7:K7"/>
    <mergeCell ref="A14:E14"/>
  </mergeCells>
  <phoneticPr fontId="0" type="noConversion"/>
  <pageMargins left="0.45" right="0.24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4</vt:i4>
      </vt:variant>
    </vt:vector>
  </HeadingPairs>
  <TitlesOfParts>
    <vt:vector size="10" baseType="lpstr">
      <vt:lpstr>Vorrunde</vt:lpstr>
      <vt:lpstr>Endrunde</vt:lpstr>
      <vt:lpstr>Trostrunde</vt:lpstr>
      <vt:lpstr>Berechnung</vt:lpstr>
      <vt:lpstr>Text</vt:lpstr>
      <vt:lpstr>Zeiten</vt:lpstr>
      <vt:lpstr>Berechnung!Druckbereich</vt:lpstr>
      <vt:lpstr>Endrunde!Druckbereich</vt:lpstr>
      <vt:lpstr>Trostrunde!Druckbereich</vt:lpstr>
      <vt:lpstr>Vorrunde!Druckbereich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Marquart</dc:creator>
  <cp:keywords/>
  <dc:description/>
  <cp:lastModifiedBy>UK SpkLa</cp:lastModifiedBy>
  <cp:revision/>
  <dcterms:created xsi:type="dcterms:W3CDTF">2006-01-21T13:44:00Z</dcterms:created>
  <dcterms:modified xsi:type="dcterms:W3CDTF">2026-06-15T08:20:08Z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TC101450531031</vt:lpwstr>
  </property>
</Properties>
</file>